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BS" sheetId="1" r:id="rId1"/>
    <sheet name="IS" sheetId="2" r:id="rId2"/>
    <sheet name="TB" sheetId="3" r:id="rId3"/>
    <sheet name="TB with adj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KIZERJL</author>
  </authors>
  <commentList>
    <comment ref="B30" authorId="0">
      <text>
        <r>
          <rPr>
            <b/>
            <sz val="9"/>
            <rFont val="Tahoma"/>
            <family val="2"/>
          </rPr>
          <t>KIZERJL:</t>
        </r>
        <r>
          <rPr>
            <sz val="9"/>
            <rFont val="Tahoma"/>
            <family val="2"/>
          </rPr>
          <t xml:space="preserve">
tested for completeness in the search for unrecorded liabilities at VI-2
</t>
        </r>
      </text>
    </comment>
    <comment ref="B28" authorId="0">
      <text>
        <r>
          <rPr>
            <b/>
            <sz val="9"/>
            <rFont val="Tahoma"/>
            <family val="2"/>
          </rPr>
          <t>KIZERJL:</t>
        </r>
        <r>
          <rPr>
            <sz val="9"/>
            <rFont val="Tahoma"/>
            <family val="2"/>
          </rPr>
          <t xml:space="preserve">
tested for completeness in the search for unrecorded liabilities at VI-2</t>
        </r>
      </text>
    </comment>
  </commentList>
</comments>
</file>

<file path=xl/sharedStrings.xml><?xml version="1.0" encoding="utf-8"?>
<sst xmlns="http://schemas.openxmlformats.org/spreadsheetml/2006/main" count="399" uniqueCount="231">
  <si>
    <t>Legacy Texas Bank - Checking</t>
  </si>
  <si>
    <t>Marketable Securities:Summit Silver, Inc</t>
  </si>
  <si>
    <t>Mineral Leases &amp; Property:Utah</t>
  </si>
  <si>
    <t>Mineral Leases &amp; Property:Colorado</t>
  </si>
  <si>
    <t>Mineral Leases &amp; Property:Arizona</t>
  </si>
  <si>
    <t>Mineral Leases &amp; Property:Sunset</t>
  </si>
  <si>
    <t>Mineral Leases &amp; Property:CDA</t>
  </si>
  <si>
    <t>Mineral Leases &amp; Property:Other</t>
  </si>
  <si>
    <t>San Miguel Mining</t>
  </si>
  <si>
    <t>Accounts Payable:C. D. Headen</t>
  </si>
  <si>
    <t>Accounts Payable:General</t>
  </si>
  <si>
    <t>Accrued Professional Fees:Consulting Service - BK</t>
  </si>
  <si>
    <t>Accrued Professional Fees:Consulting Service  - DR</t>
  </si>
  <si>
    <t>Accrued Professional Fees:Consulting Service  - JC</t>
  </si>
  <si>
    <t>Long Term Debt:Ralph Hafen</t>
  </si>
  <si>
    <t>Long Term Debt:Richard Feller Loan</t>
  </si>
  <si>
    <t>Long Term Debt:Tony Alford</t>
  </si>
  <si>
    <t>N/P - Kokopelli Development</t>
  </si>
  <si>
    <t>Accumulated Deficit</t>
  </si>
  <si>
    <t>Additional Paid In Capital</t>
  </si>
  <si>
    <t>Retained Earnings</t>
  </si>
  <si>
    <t>Shareholder Equity:Comm Stock - Other</t>
  </si>
  <si>
    <t>Shareholder Equity:Com Stock - Cash</t>
  </si>
  <si>
    <t>Shareholder Equity:Com Stock - Historical</t>
  </si>
  <si>
    <t>Shareholder Equity:Com Stock - Services:Com Stock - D&amp;O</t>
  </si>
  <si>
    <t>Shareholder Equity:Com Stock - Services:Com Stock - Other</t>
  </si>
  <si>
    <t>Automobile Expenses:Automobile Insurance</t>
  </si>
  <si>
    <t>Automobile Expenses:Mileage Reimbursement</t>
  </si>
  <si>
    <t>Bank Fees</t>
  </si>
  <si>
    <t>Computer Supplies</t>
  </si>
  <si>
    <t>Convention - PDAC</t>
  </si>
  <si>
    <t>Entertainment:Business Meals</t>
  </si>
  <si>
    <t>Fees, Licenses and Permits</t>
  </si>
  <si>
    <t>Insurance</t>
  </si>
  <si>
    <t>Interest Expense</t>
  </si>
  <si>
    <t>Land &amp; Mineral Lease Expense:Land &amp; Mineral Lease</t>
  </si>
  <si>
    <t>Legal Fees</t>
  </si>
  <si>
    <t>Office Expense &amp; Equipment:Dallas Office Expense &amp; Equip.</t>
  </si>
  <si>
    <t>Office Expense &amp; Equipment:Utah Office Expense &amp; Equip.</t>
  </si>
  <si>
    <t>Office Supplies</t>
  </si>
  <si>
    <t>Postage and Delivery</t>
  </si>
  <si>
    <t>Printing &amp; Reproduction</t>
  </si>
  <si>
    <t>Professional Fees:Consulting Fees</t>
  </si>
  <si>
    <t>Professional Fees:Geology Consulting Fees</t>
  </si>
  <si>
    <t>Professional Fees:Land Work</t>
  </si>
  <si>
    <t>Professional Fees:Survey</t>
  </si>
  <si>
    <t>Professional Services:Board &amp; Officers</t>
  </si>
  <si>
    <t>Professional Services:Consulting</t>
  </si>
  <si>
    <t>Property Tax</t>
  </si>
  <si>
    <t>Recording Fees</t>
  </si>
  <si>
    <t>Rental Fees</t>
  </si>
  <si>
    <t>Rental Fees:Office Space Rental</t>
  </si>
  <si>
    <t>Shipping Expense</t>
  </si>
  <si>
    <t>Stock Transfer Fees</t>
  </si>
  <si>
    <t>Storage</t>
  </si>
  <si>
    <t>Surveys:Utah SW 3D Geophysical</t>
  </si>
  <si>
    <t>Telephone:Cell Phones</t>
  </si>
  <si>
    <t>Telephone:Telephone</t>
  </si>
  <si>
    <t>Travel:Rental/Parking/Tolls</t>
  </si>
  <si>
    <t>Travel:Travel</t>
  </si>
  <si>
    <t>Gain/Loss on Debt Forgiveness</t>
  </si>
  <si>
    <t>Interest Income</t>
  </si>
  <si>
    <t>Travel:Misc. Travel</t>
  </si>
  <si>
    <t>Travel:Meals</t>
  </si>
  <si>
    <t>Travel:Lodging</t>
  </si>
  <si>
    <t>Travel:Airfare</t>
  </si>
  <si>
    <t>Telephone:Internet Service</t>
  </si>
  <si>
    <t>Stock Purchases</t>
  </si>
  <si>
    <t>Professional Fees:Research</t>
  </si>
  <si>
    <t>Professional Fees:Other - John C. Skip Headen:VISA Credit Card</t>
  </si>
  <si>
    <t>Professional Fees:Other - John C. Skip Headen:Automobile Leasing</t>
  </si>
  <si>
    <t>Professional Fees:Other - John C. Skip Headen:AMEX Credit Card</t>
  </si>
  <si>
    <t>Professional Fees:Accounting</t>
  </si>
  <si>
    <t>Miscellaneous</t>
  </si>
  <si>
    <t>Marketing &amp; Advertising</t>
  </si>
  <si>
    <t>Land &amp; Mineral Lease Expense:Miscellaneous</t>
  </si>
  <si>
    <t>Land &amp; Mineral Lease Expense:Land Exploration Work</t>
  </si>
  <si>
    <t>Land &amp; Mineral Lease Expense:Equipment &amp; Supplies</t>
  </si>
  <si>
    <t>Dues and Subscriptions</t>
  </si>
  <si>
    <t>Automobile Expenses:Automobile Maintenance</t>
  </si>
  <si>
    <t>Loan Fees</t>
  </si>
  <si>
    <t>Short Term Debt:Libertyville Bank &amp; Trust - LOC</t>
  </si>
  <si>
    <t>Mountain America CU CD</t>
  </si>
  <si>
    <t>Mountain America C.U. - Savings</t>
  </si>
  <si>
    <t>Mountain America C.U.-Checking</t>
  </si>
  <si>
    <t>Loss (Gain) on Investments</t>
  </si>
  <si>
    <t>Travel</t>
  </si>
  <si>
    <t>Telephone</t>
  </si>
  <si>
    <t>Settlement Payment</t>
  </si>
  <si>
    <t>Rental Fees:Equipment Rental</t>
  </si>
  <si>
    <t>Professional Fees:Computer Systems</t>
  </si>
  <si>
    <t>Land &amp; Mineral Lease Expense:Field Expenses</t>
  </si>
  <si>
    <t>Land &amp; Mineral Lease Expense</t>
  </si>
  <si>
    <t>Office Equipment</t>
  </si>
  <si>
    <t>Vehicles</t>
  </si>
  <si>
    <t>Account Description</t>
  </si>
  <si>
    <t>Adjustments</t>
  </si>
  <si>
    <t>Current Year - Net income</t>
  </si>
  <si>
    <t>Accounts Payable:Barry Katona</t>
  </si>
  <si>
    <t>Long Term Debt:CD Headen Loan</t>
  </si>
  <si>
    <t>Long Term Debt:Dearler Service Company</t>
  </si>
  <si>
    <t>PP-1</t>
  </si>
  <si>
    <t>WW-1</t>
  </si>
  <si>
    <t>NM</t>
  </si>
  <si>
    <t>Adjusted 9/30/2007</t>
  </si>
  <si>
    <t>20-1</t>
  </si>
  <si>
    <t>A-1</t>
  </si>
  <si>
    <t>Prepaid expenses</t>
  </si>
  <si>
    <t>Adjustments check figure - should net to $0.</t>
  </si>
  <si>
    <t>Balance Sheet Check Figure - should net to $0.</t>
  </si>
  <si>
    <t>Grand Central Silver Mines</t>
  </si>
  <si>
    <t>Cash and cash equivalents</t>
  </si>
  <si>
    <t>ASSETS</t>
  </si>
  <si>
    <t>Property and equipment</t>
  </si>
  <si>
    <t>Total assets</t>
  </si>
  <si>
    <t>LIABILITIES AND STOCKHOLDERS' EQUITY</t>
  </si>
  <si>
    <t>Accounts payable</t>
  </si>
  <si>
    <t>Accrued consulting fees</t>
  </si>
  <si>
    <t>Total current liabilities</t>
  </si>
  <si>
    <t>Current portion of LT Debt</t>
  </si>
  <si>
    <t>Notes payable - long-term</t>
  </si>
  <si>
    <t>Common stock</t>
  </si>
  <si>
    <t>Additional-paid-in-capital</t>
  </si>
  <si>
    <t>Retained earnings</t>
  </si>
  <si>
    <t>Trial Balances</t>
  </si>
  <si>
    <t>HH-4</t>
  </si>
  <si>
    <t>NOTE:  See AJE for listing of adjustments and explanation and references for adjustments.</t>
  </si>
  <si>
    <t>Liability to be settled through issuance of common shares</t>
  </si>
  <si>
    <t>Total liabilities</t>
  </si>
  <si>
    <t>AJE-11</t>
  </si>
  <si>
    <t>M-1</t>
  </si>
  <si>
    <t>WW-2</t>
  </si>
  <si>
    <t>Depreciation expense</t>
  </si>
  <si>
    <t>SOCF</t>
  </si>
  <si>
    <t>Compensation expense</t>
  </si>
  <si>
    <t>Revenues</t>
  </si>
  <si>
    <t>General and administrative</t>
  </si>
  <si>
    <t>Depreciation and amortization</t>
  </si>
  <si>
    <t>Total operating expenses</t>
  </si>
  <si>
    <t>Loss from operations</t>
  </si>
  <si>
    <t>Other (income)/expense:</t>
  </si>
  <si>
    <t>Interest and other income</t>
  </si>
  <si>
    <t>Interest expense</t>
  </si>
  <si>
    <t>Total</t>
  </si>
  <si>
    <t>Loss before income taxes</t>
  </si>
  <si>
    <t>Income taxes</t>
  </si>
  <si>
    <t>Net loss</t>
  </si>
  <si>
    <t>Basic and diluted loss per common share</t>
  </si>
  <si>
    <t>Weighted average number of common shares outstanding - basic and diluted</t>
  </si>
  <si>
    <t>Exploration costs</t>
  </si>
  <si>
    <t>M-2</t>
  </si>
  <si>
    <t>Period from 9/30/2008- 9/30/2010</t>
  </si>
  <si>
    <t>Adjusted 9/30/2008</t>
  </si>
  <si>
    <t>Adjusted 9/30/2009</t>
  </si>
  <si>
    <t>Adjusted 9/30/2010</t>
  </si>
  <si>
    <t>Mineral Leases &amp; Property:Idaho</t>
  </si>
  <si>
    <t>N/R - Honda Mineral CO</t>
  </si>
  <si>
    <t>Current Accounts Payable</t>
  </si>
  <si>
    <t>Short Term Debt:Libertyville Bank &amp; Trust 46020</t>
  </si>
  <si>
    <t>Short Term Debt:Libertyville Bank &amp; Trust 44656</t>
  </si>
  <si>
    <t>Shareholder Equity:Treasury Stock</t>
  </si>
  <si>
    <t>Materials</t>
  </si>
  <si>
    <t>Expense Reimbursements</t>
  </si>
  <si>
    <t>Automobile Expenses</t>
  </si>
  <si>
    <t>Depreciation</t>
  </si>
  <si>
    <t>Licenses &amp; Permits</t>
  </si>
  <si>
    <t>Professional Fees</t>
  </si>
  <si>
    <t>Professional Fees:Board and Officers</t>
  </si>
  <si>
    <t>Professional Fees:Engineering Services</t>
  </si>
  <si>
    <t>Professional Fees:Other - John C. Skip Headen</t>
  </si>
  <si>
    <t>State Income Taxes</t>
  </si>
  <si>
    <t>Other Income</t>
  </si>
  <si>
    <t>Adjusted 9/30/09</t>
  </si>
  <si>
    <t>Adjusted 9/30/08</t>
  </si>
  <si>
    <t>Other Current Assets</t>
  </si>
  <si>
    <t>Accumulated Depreciation</t>
  </si>
  <si>
    <t>Investment in Hondo Minerals</t>
  </si>
  <si>
    <t>N/R - Honda Mineral AZ</t>
  </si>
  <si>
    <t>Accounts Payable</t>
  </si>
  <si>
    <t>A/P Adjustment</t>
  </si>
  <si>
    <t>Adverstising</t>
  </si>
  <si>
    <t>Equipment Fuel</t>
  </si>
  <si>
    <t>Utilities</t>
  </si>
  <si>
    <t>General Supplies/Small Tools</t>
  </si>
  <si>
    <t>Computer supplies</t>
  </si>
  <si>
    <t>Gifts</t>
  </si>
  <si>
    <t>Meeting Expense</t>
  </si>
  <si>
    <t>General &amp; Administrative</t>
  </si>
  <si>
    <t>Professional Fees: Research</t>
  </si>
  <si>
    <t>9/30/2010</t>
  </si>
  <si>
    <t>Adjusted 9/30/10</t>
  </si>
  <si>
    <t>Balance Sheet Check</t>
  </si>
  <si>
    <t>Current year loss</t>
  </si>
  <si>
    <t>Total current assets</t>
  </si>
  <si>
    <t>Other Assets - N/R Hondo Mineral CO</t>
  </si>
  <si>
    <t>Due to Bill Adrich</t>
  </si>
  <si>
    <t>Adjusted 9/30/2011</t>
  </si>
  <si>
    <t>N/R - Hondo Mineral CO</t>
  </si>
  <si>
    <t>Accounts Payable - Bill Aldrich</t>
  </si>
  <si>
    <t>Treasury Stock</t>
  </si>
  <si>
    <t>Contributions</t>
  </si>
  <si>
    <t>Client Gifts</t>
  </si>
  <si>
    <t>License &amp; Permits</t>
  </si>
  <si>
    <t>Professional Fees:General</t>
  </si>
  <si>
    <t>Professional Fees:Board &amp; Officers</t>
  </si>
  <si>
    <t>Rental Fees - Equipment Rental</t>
  </si>
  <si>
    <t xml:space="preserve">Surveys  </t>
  </si>
  <si>
    <t>Total Equity</t>
  </si>
  <si>
    <t>Total Liabilities and Equity</t>
  </si>
  <si>
    <t>Check Figure</t>
  </si>
  <si>
    <t>Check</t>
  </si>
  <si>
    <t>PP-100.1</t>
  </si>
  <si>
    <t>HH-5</t>
  </si>
  <si>
    <t>Accrued professional fees</t>
  </si>
  <si>
    <t>40-1</t>
  </si>
  <si>
    <t>20-5</t>
  </si>
  <si>
    <t>A-5</t>
  </si>
  <si>
    <t>M-2.1</t>
  </si>
  <si>
    <t>HH-6</t>
  </si>
  <si>
    <t>AJE 1</t>
  </si>
  <si>
    <t>AJE 2</t>
  </si>
  <si>
    <t>AJE 6</t>
  </si>
  <si>
    <t>AJE 4</t>
  </si>
  <si>
    <t>AJE-4</t>
  </si>
  <si>
    <t>AJE 5</t>
  </si>
  <si>
    <t>AJE 3</t>
  </si>
  <si>
    <t>Due to Bill Aldrich</t>
  </si>
  <si>
    <t>AJE 8</t>
  </si>
  <si>
    <t>AJE 7</t>
  </si>
  <si>
    <t>Balance Sheet-DRAFT</t>
  </si>
  <si>
    <t>Income Statements-DRAFT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</si>
</sst>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00000"/>
    <numFmt numFmtId="170" formatCode="_(* #,##0.0000_);_(* \(#,##0.0000\);_(* &quot;-&quot;????_);_(@_)"/>
  </numFmts>
  <fonts count="82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10"/>
      <name val="Comic Sans MS"/>
      <family val="4"/>
    </font>
    <font>
      <u val="single"/>
      <sz val="10"/>
      <color indexed="36"/>
      <name val="Arial"/>
      <family val="2"/>
    </font>
    <font>
      <sz val="10"/>
      <color indexed="10"/>
      <name val="Comic Sans MS"/>
      <family val="4"/>
    </font>
    <font>
      <sz val="8"/>
      <name val="Arial"/>
      <family val="2"/>
    </font>
    <font>
      <sz val="10"/>
      <name val="Candara"/>
      <family val="2"/>
    </font>
    <font>
      <b/>
      <sz val="10"/>
      <name val="Candara"/>
      <family val="2"/>
    </font>
    <font>
      <sz val="10"/>
      <color indexed="9"/>
      <name val="Comic Sans MS"/>
      <family val="4"/>
    </font>
    <font>
      <sz val="10"/>
      <color indexed="14"/>
      <name val="Comic Sans MS"/>
      <family val="4"/>
    </font>
    <font>
      <sz val="10"/>
      <color indexed="12"/>
      <name val="Comic Sans MS"/>
      <family val="4"/>
    </font>
    <font>
      <u val="single"/>
      <sz val="10"/>
      <color indexed="10"/>
      <name val="Arial"/>
      <family val="2"/>
    </font>
    <font>
      <sz val="10"/>
      <color indexed="52"/>
      <name val="Comic Sans MS"/>
      <family val="4"/>
    </font>
    <font>
      <sz val="10"/>
      <color indexed="50"/>
      <name val="Comic Sans MS"/>
      <family val="4"/>
    </font>
    <font>
      <sz val="10"/>
      <color indexed="44"/>
      <name val="Comic Sans MS"/>
      <family val="4"/>
    </font>
    <font>
      <sz val="10"/>
      <color indexed="13"/>
      <name val="Comic Sans MS"/>
      <family val="4"/>
    </font>
    <font>
      <sz val="10"/>
      <color indexed="20"/>
      <name val="Comic Sans MS"/>
      <family val="4"/>
    </font>
    <font>
      <u val="single"/>
      <sz val="10"/>
      <color indexed="10"/>
      <name val="Calibri"/>
      <family val="2"/>
    </font>
    <font>
      <sz val="10"/>
      <color indexed="46"/>
      <name val="Comic Sans MS"/>
      <family val="4"/>
    </font>
    <font>
      <sz val="9"/>
      <name val="Tahoma"/>
      <family val="2"/>
    </font>
    <font>
      <b/>
      <sz val="9"/>
      <name val="Tahoma"/>
      <family val="2"/>
    </font>
    <font>
      <b/>
      <sz val="14"/>
      <name val="Candar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Candara"/>
      <family val="2"/>
    </font>
    <font>
      <sz val="8"/>
      <color indexed="8"/>
      <name val="Arial"/>
      <family val="2"/>
    </font>
    <font>
      <sz val="10"/>
      <color indexed="8"/>
      <name val="Candara"/>
      <family val="2"/>
    </font>
    <font>
      <sz val="10"/>
      <color indexed="10"/>
      <name val="Candara"/>
      <family val="2"/>
    </font>
    <font>
      <b/>
      <sz val="10"/>
      <color indexed="30"/>
      <name val="Candara"/>
      <family val="2"/>
    </font>
    <font>
      <b/>
      <sz val="10"/>
      <color indexed="10"/>
      <name val="Candara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Candara"/>
      <family val="2"/>
    </font>
    <font>
      <b/>
      <u val="single"/>
      <sz val="10"/>
      <color indexed="10"/>
      <name val="Candara"/>
      <family val="2"/>
    </font>
    <font>
      <sz val="10"/>
      <color indexed="9"/>
      <name val="Candar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Candara"/>
      <family val="2"/>
    </font>
    <font>
      <sz val="8"/>
      <color rgb="FF000000"/>
      <name val="Arial"/>
      <family val="2"/>
    </font>
    <font>
      <sz val="10"/>
      <color rgb="FF000000"/>
      <name val="Candara"/>
      <family val="2"/>
    </font>
    <font>
      <sz val="10"/>
      <color rgb="FFFF0000"/>
      <name val="Candara"/>
      <family val="2"/>
    </font>
    <font>
      <b/>
      <sz val="10"/>
      <color rgb="FF0033CC"/>
      <name val="Candara"/>
      <family val="2"/>
    </font>
    <font>
      <b/>
      <sz val="10"/>
      <color rgb="FFFF0000"/>
      <name val="Candara"/>
      <family val="2"/>
    </font>
    <font>
      <u val="single"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u val="single"/>
      <sz val="10"/>
      <color rgb="FFFF0000"/>
      <name val="Candara"/>
      <family val="2"/>
    </font>
    <font>
      <b/>
      <u val="single"/>
      <sz val="10"/>
      <color rgb="FFFF0000"/>
      <name val="Candara"/>
      <family val="2"/>
    </font>
    <font>
      <sz val="10"/>
      <color theme="0"/>
      <name val="Candara"/>
      <family val="2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14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2" fillId="0" borderId="0" xfId="0" applyFont="1" applyAlignment="1">
      <alignment/>
    </xf>
    <xf numFmtId="37" fontId="2" fillId="0" borderId="0" xfId="42" applyNumberFormat="1" applyFont="1" applyAlignment="1">
      <alignment/>
    </xf>
    <xf numFmtId="0" fontId="1" fillId="0" borderId="0" xfId="0" applyFont="1" applyBorder="1" applyAlignment="1">
      <alignment horizontal="center"/>
    </xf>
    <xf numFmtId="166" fontId="2" fillId="0" borderId="0" xfId="42" applyNumberFormat="1" applyFont="1" applyAlignment="1">
      <alignment/>
    </xf>
    <xf numFmtId="166" fontId="2" fillId="0" borderId="0" xfId="0" applyNumberFormat="1" applyFont="1" applyAlignment="1">
      <alignment/>
    </xf>
    <xf numFmtId="37" fontId="2" fillId="0" borderId="0" xfId="42" applyNumberFormat="1" applyFont="1" applyAlignment="1">
      <alignment horizontal="right"/>
    </xf>
    <xf numFmtId="166" fontId="4" fillId="0" borderId="0" xfId="53" applyNumberFormat="1" applyFont="1" applyAlignment="1" applyProtection="1">
      <alignment/>
      <protection/>
    </xf>
    <xf numFmtId="37" fontId="1" fillId="0" borderId="10" xfId="42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37" fontId="1" fillId="0" borderId="10" xfId="42" applyNumberFormat="1" applyFont="1" applyBorder="1" applyAlignment="1">
      <alignment horizontal="right"/>
    </xf>
    <xf numFmtId="0" fontId="6" fillId="34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8" fillId="0" borderId="0" xfId="0" applyFont="1" applyAlignment="1">
      <alignment/>
    </xf>
    <xf numFmtId="166" fontId="8" fillId="0" borderId="0" xfId="42" applyNumberFormat="1" applyFont="1" applyAlignment="1">
      <alignment/>
    </xf>
    <xf numFmtId="166" fontId="8" fillId="0" borderId="10" xfId="42" applyNumberFormat="1" applyFont="1" applyBorder="1" applyAlignment="1">
      <alignment/>
    </xf>
    <xf numFmtId="0" fontId="9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166" fontId="8" fillId="0" borderId="0" xfId="42" applyNumberFormat="1" applyFont="1" applyBorder="1" applyAlignment="1">
      <alignment/>
    </xf>
    <xf numFmtId="0" fontId="1" fillId="0" borderId="0" xfId="0" applyFont="1" applyAlignment="1">
      <alignment/>
    </xf>
    <xf numFmtId="0" fontId="6" fillId="36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6" fillId="38" borderId="0" xfId="0" applyFont="1" applyFill="1" applyAlignment="1">
      <alignment horizontal="center"/>
    </xf>
    <xf numFmtId="0" fontId="10" fillId="39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11" fillId="41" borderId="0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42" borderId="0" xfId="0" applyFont="1" applyFill="1" applyAlignment="1">
      <alignment horizontal="center"/>
    </xf>
    <xf numFmtId="0" fontId="10" fillId="43" borderId="0" xfId="0" applyFont="1" applyFill="1" applyAlignment="1">
      <alignment horizontal="center"/>
    </xf>
    <xf numFmtId="0" fontId="14" fillId="44" borderId="0" xfId="0" applyFont="1" applyFill="1" applyAlignment="1">
      <alignment horizontal="center"/>
    </xf>
    <xf numFmtId="0" fontId="15" fillId="45" borderId="0" xfId="0" applyFont="1" applyFill="1" applyAlignment="1">
      <alignment horizontal="center"/>
    </xf>
    <xf numFmtId="0" fontId="16" fillId="46" borderId="0" xfId="0" applyFont="1" applyFill="1" applyAlignment="1">
      <alignment horizontal="center"/>
    </xf>
    <xf numFmtId="0" fontId="17" fillId="47" borderId="0" xfId="0" applyFont="1" applyFill="1" applyAlignment="1">
      <alignment horizontal="center"/>
    </xf>
    <xf numFmtId="37" fontId="18" fillId="48" borderId="0" xfId="42" applyNumberFormat="1" applyFont="1" applyFill="1" applyAlignment="1">
      <alignment horizontal="center"/>
    </xf>
    <xf numFmtId="37" fontId="1" fillId="0" borderId="0" xfId="42" applyNumberFormat="1" applyFont="1" applyBorder="1" applyAlignment="1">
      <alignment horizontal="center" wrapText="1"/>
    </xf>
    <xf numFmtId="0" fontId="16" fillId="49" borderId="0" xfId="0" applyFont="1" applyFill="1" applyAlignment="1">
      <alignment horizontal="center"/>
    </xf>
    <xf numFmtId="166" fontId="8" fillId="0" borderId="0" xfId="0" applyNumberFormat="1" applyFont="1" applyAlignment="1">
      <alignment/>
    </xf>
    <xf numFmtId="0" fontId="18" fillId="50" borderId="0" xfId="0" applyFont="1" applyFill="1" applyAlignment="1">
      <alignment horizontal="center"/>
    </xf>
    <xf numFmtId="168" fontId="8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37" fontId="20" fillId="51" borderId="0" xfId="42" applyNumberFormat="1" applyFont="1" applyFill="1" applyAlignment="1">
      <alignment horizontal="center"/>
    </xf>
    <xf numFmtId="0" fontId="2" fillId="52" borderId="0" xfId="0" applyFont="1" applyFill="1" applyAlignment="1">
      <alignment/>
    </xf>
    <xf numFmtId="166" fontId="2" fillId="52" borderId="0" xfId="42" applyNumberFormat="1" applyFont="1" applyFill="1" applyAlignment="1">
      <alignment/>
    </xf>
    <xf numFmtId="166" fontId="18" fillId="52" borderId="0" xfId="42" applyNumberFormat="1" applyFont="1" applyFill="1" applyAlignment="1">
      <alignment/>
    </xf>
    <xf numFmtId="0" fontId="4" fillId="52" borderId="0" xfId="0" applyFont="1" applyFill="1" applyAlignment="1">
      <alignment horizontal="left"/>
    </xf>
    <xf numFmtId="0" fontId="4" fillId="52" borderId="0" xfId="0" applyFont="1" applyFill="1" applyAlignment="1">
      <alignment horizontal="right"/>
    </xf>
    <xf numFmtId="37" fontId="2" fillId="52" borderId="0" xfId="42" applyNumberFormat="1" applyFont="1" applyFill="1" applyAlignment="1">
      <alignment/>
    </xf>
    <xf numFmtId="37" fontId="4" fillId="52" borderId="0" xfId="42" applyNumberFormat="1" applyFont="1" applyFill="1" applyAlignment="1">
      <alignment horizontal="right"/>
    </xf>
    <xf numFmtId="37" fontId="18" fillId="52" borderId="0" xfId="42" applyNumberFormat="1" applyFont="1" applyFill="1" applyAlignment="1">
      <alignment/>
    </xf>
    <xf numFmtId="166" fontId="2" fillId="52" borderId="0" xfId="42" applyNumberFormat="1" applyFont="1" applyFill="1" applyBorder="1" applyAlignment="1">
      <alignment/>
    </xf>
    <xf numFmtId="37" fontId="2" fillId="52" borderId="0" xfId="42" applyNumberFormat="1" applyFont="1" applyFill="1" applyAlignment="1">
      <alignment horizontal="right"/>
    </xf>
    <xf numFmtId="43" fontId="2" fillId="52" borderId="0" xfId="42" applyFont="1" applyFill="1" applyBorder="1" applyAlignment="1">
      <alignment/>
    </xf>
    <xf numFmtId="37" fontId="4" fillId="52" borderId="0" xfId="53" applyNumberFormat="1" applyFont="1" applyFill="1" applyAlignment="1" applyProtection="1">
      <alignment horizontal="right"/>
      <protection/>
    </xf>
    <xf numFmtId="37" fontId="2" fillId="52" borderId="0" xfId="42" applyNumberFormat="1" applyFont="1" applyFill="1" applyBorder="1" applyAlignment="1">
      <alignment/>
    </xf>
    <xf numFmtId="0" fontId="4" fillId="52" borderId="0" xfId="53" applyFont="1" applyFill="1" applyAlignment="1" applyProtection="1">
      <alignment horizontal="right"/>
      <protection/>
    </xf>
    <xf numFmtId="166" fontId="2" fillId="52" borderId="10" xfId="42" applyNumberFormat="1" applyFont="1" applyFill="1" applyBorder="1" applyAlignment="1">
      <alignment/>
    </xf>
    <xf numFmtId="43" fontId="2" fillId="52" borderId="10" xfId="42" applyFont="1" applyFill="1" applyBorder="1" applyAlignment="1">
      <alignment/>
    </xf>
    <xf numFmtId="37" fontId="2" fillId="52" borderId="10" xfId="42" applyNumberFormat="1" applyFont="1" applyFill="1" applyBorder="1" applyAlignment="1">
      <alignment/>
    </xf>
    <xf numFmtId="0" fontId="6" fillId="52" borderId="0" xfId="0" applyFont="1" applyFill="1" applyAlignment="1">
      <alignment horizontal="center"/>
    </xf>
    <xf numFmtId="0" fontId="6" fillId="52" borderId="0" xfId="0" applyFont="1" applyFill="1" applyAlignment="1">
      <alignment horizontal="right"/>
    </xf>
    <xf numFmtId="43" fontId="2" fillId="52" borderId="0" xfId="42" applyFont="1" applyFill="1" applyAlignment="1">
      <alignment/>
    </xf>
    <xf numFmtId="37" fontId="6" fillId="52" borderId="0" xfId="42" applyNumberFormat="1" applyFont="1" applyFill="1" applyBorder="1" applyAlignment="1">
      <alignment horizontal="center"/>
    </xf>
    <xf numFmtId="166" fontId="6" fillId="52" borderId="0" xfId="42" applyNumberFormat="1" applyFont="1" applyFill="1" applyAlignment="1">
      <alignment/>
    </xf>
    <xf numFmtId="0" fontId="16" fillId="52" borderId="0" xfId="0" applyFont="1" applyFill="1" applyAlignment="1">
      <alignment horizontal="center"/>
    </xf>
    <xf numFmtId="43" fontId="16" fillId="52" borderId="0" xfId="42" applyFont="1" applyFill="1" applyAlignment="1">
      <alignment horizontal="center"/>
    </xf>
    <xf numFmtId="166" fontId="10" fillId="52" borderId="0" xfId="42" applyNumberFormat="1" applyFont="1" applyFill="1" applyBorder="1" applyAlignment="1">
      <alignment horizontal="right"/>
    </xf>
    <xf numFmtId="166" fontId="10" fillId="52" borderId="0" xfId="42" applyNumberFormat="1" applyFont="1" applyFill="1" applyAlignment="1">
      <alignment/>
    </xf>
    <xf numFmtId="37" fontId="4" fillId="52" borderId="0" xfId="42" applyNumberFormat="1" applyFont="1" applyFill="1" applyAlignment="1">
      <alignment horizontal="left"/>
    </xf>
    <xf numFmtId="0" fontId="17" fillId="52" borderId="0" xfId="0" applyFont="1" applyFill="1" applyAlignment="1">
      <alignment horizontal="center"/>
    </xf>
    <xf numFmtId="166" fontId="17" fillId="52" borderId="0" xfId="42" applyNumberFormat="1" applyFont="1" applyFill="1" applyBorder="1" applyAlignment="1">
      <alignment/>
    </xf>
    <xf numFmtId="0" fontId="2" fillId="52" borderId="0" xfId="0" applyFont="1" applyFill="1" applyBorder="1" applyAlignment="1">
      <alignment/>
    </xf>
    <xf numFmtId="37" fontId="2" fillId="52" borderId="0" xfId="42" applyNumberFormat="1" applyFont="1" applyFill="1" applyBorder="1" applyAlignment="1">
      <alignment horizontal="right"/>
    </xf>
    <xf numFmtId="37" fontId="6" fillId="52" borderId="0" xfId="42" applyNumberFormat="1" applyFont="1" applyFill="1" applyAlignment="1">
      <alignment horizontal="right"/>
    </xf>
    <xf numFmtId="166" fontId="6" fillId="52" borderId="0" xfId="42" applyNumberFormat="1" applyFont="1" applyFill="1" applyBorder="1" applyAlignment="1">
      <alignment horizontal="center"/>
    </xf>
    <xf numFmtId="0" fontId="6" fillId="52" borderId="0" xfId="0" applyFont="1" applyFill="1" applyAlignment="1">
      <alignment/>
    </xf>
    <xf numFmtId="166" fontId="10" fillId="52" borderId="0" xfId="42" applyNumberFormat="1" applyFont="1" applyFill="1" applyBorder="1" applyAlignment="1">
      <alignment horizontal="center"/>
    </xf>
    <xf numFmtId="0" fontId="18" fillId="52" borderId="0" xfId="0" applyFont="1" applyFill="1" applyAlignment="1">
      <alignment horizontal="center"/>
    </xf>
    <xf numFmtId="37" fontId="6" fillId="52" borderId="0" xfId="42" applyNumberFormat="1" applyFont="1" applyFill="1" applyAlignment="1">
      <alignment horizontal="center"/>
    </xf>
    <xf numFmtId="166" fontId="2" fillId="52" borderId="0" xfId="42" applyNumberFormat="1" applyFont="1" applyFill="1" applyBorder="1" applyAlignment="1">
      <alignment horizontal="center"/>
    </xf>
    <xf numFmtId="166" fontId="18" fillId="52" borderId="0" xfId="42" applyNumberFormat="1" applyFont="1" applyFill="1" applyBorder="1" applyAlignment="1">
      <alignment horizontal="center"/>
    </xf>
    <xf numFmtId="166" fontId="18" fillId="52" borderId="0" xfId="42" applyNumberFormat="1" applyFont="1" applyFill="1" applyBorder="1" applyAlignment="1">
      <alignment/>
    </xf>
    <xf numFmtId="166" fontId="16" fillId="52" borderId="0" xfId="42" applyNumberFormat="1" applyFont="1" applyFill="1" applyAlignment="1">
      <alignment/>
    </xf>
    <xf numFmtId="0" fontId="20" fillId="52" borderId="0" xfId="0" applyFont="1" applyFill="1" applyAlignment="1">
      <alignment horizontal="center"/>
    </xf>
    <xf numFmtId="166" fontId="20" fillId="52" borderId="0" xfId="42" applyNumberFormat="1" applyFont="1" applyFill="1" applyAlignment="1">
      <alignment/>
    </xf>
    <xf numFmtId="166" fontId="20" fillId="52" borderId="0" xfId="42" applyNumberFormat="1" applyFont="1" applyFill="1" applyBorder="1" applyAlignment="1">
      <alignment horizontal="center"/>
    </xf>
    <xf numFmtId="166" fontId="20" fillId="52" borderId="0" xfId="42" applyNumberFormat="1" applyFont="1" applyFill="1" applyBorder="1" applyAlignment="1">
      <alignment/>
    </xf>
    <xf numFmtId="166" fontId="11" fillId="52" borderId="0" xfId="42" applyNumberFormat="1" applyFont="1" applyFill="1" applyBorder="1" applyAlignment="1">
      <alignment horizontal="center"/>
    </xf>
    <xf numFmtId="166" fontId="11" fillId="52" borderId="0" xfId="42" applyNumberFormat="1" applyFont="1" applyFill="1" applyAlignment="1">
      <alignment/>
    </xf>
    <xf numFmtId="166" fontId="18" fillId="52" borderId="10" xfId="42" applyNumberFormat="1" applyFont="1" applyFill="1" applyBorder="1" applyAlignment="1">
      <alignment/>
    </xf>
    <xf numFmtId="0" fontId="4" fillId="52" borderId="0" xfId="0" applyFont="1" applyFill="1" applyAlignment="1">
      <alignment/>
    </xf>
    <xf numFmtId="0" fontId="19" fillId="52" borderId="0" xfId="53" applyFont="1" applyFill="1" applyAlignment="1" applyProtection="1">
      <alignment/>
      <protection/>
    </xf>
    <xf numFmtId="0" fontId="4" fillId="52" borderId="0" xfId="53" applyFont="1" applyFill="1" applyAlignment="1" applyProtection="1">
      <alignment/>
      <protection/>
    </xf>
    <xf numFmtId="37" fontId="13" fillId="52" borderId="0" xfId="53" applyNumberFormat="1" applyFont="1" applyFill="1" applyAlignment="1" applyProtection="1">
      <alignment horizontal="right"/>
      <protection/>
    </xf>
    <xf numFmtId="0" fontId="11" fillId="52" borderId="0" xfId="0" applyFont="1" applyFill="1" applyAlignment="1">
      <alignment/>
    </xf>
    <xf numFmtId="49" fontId="69" fillId="0" borderId="0" xfId="0" applyNumberFormat="1" applyFont="1" applyAlignment="1">
      <alignment/>
    </xf>
    <xf numFmtId="49" fontId="70" fillId="0" borderId="0" xfId="0" applyNumberFormat="1" applyFont="1" applyAlignment="1">
      <alignment/>
    </xf>
    <xf numFmtId="37" fontId="2" fillId="7" borderId="0" xfId="42" applyNumberFormat="1" applyFont="1" applyFill="1" applyAlignment="1">
      <alignment/>
    </xf>
    <xf numFmtId="0" fontId="2" fillId="7" borderId="0" xfId="0" applyFont="1" applyFill="1" applyAlignment="1">
      <alignment/>
    </xf>
    <xf numFmtId="14" fontId="1" fillId="7" borderId="10" xfId="42" applyNumberFormat="1" applyFont="1" applyFill="1" applyBorder="1" applyAlignment="1">
      <alignment horizontal="center"/>
    </xf>
    <xf numFmtId="37" fontId="1" fillId="7" borderId="10" xfId="42" applyNumberFormat="1" applyFont="1" applyFill="1" applyBorder="1" applyAlignment="1">
      <alignment horizontal="center"/>
    </xf>
    <xf numFmtId="37" fontId="1" fillId="7" borderId="10" xfId="42" applyNumberFormat="1" applyFont="1" applyFill="1" applyBorder="1" applyAlignment="1">
      <alignment horizontal="center" wrapText="1"/>
    </xf>
    <xf numFmtId="166" fontId="18" fillId="7" borderId="0" xfId="42" applyNumberFormat="1" applyFont="1" applyFill="1" applyAlignment="1">
      <alignment/>
    </xf>
    <xf numFmtId="166" fontId="2" fillId="7" borderId="0" xfId="42" applyNumberFormat="1" applyFont="1" applyFill="1" applyAlignment="1">
      <alignment/>
    </xf>
    <xf numFmtId="37" fontId="2" fillId="7" borderId="0" xfId="42" applyNumberFormat="1" applyFont="1" applyFill="1" applyBorder="1" applyAlignment="1">
      <alignment/>
    </xf>
    <xf numFmtId="37" fontId="2" fillId="7" borderId="10" xfId="42" applyNumberFormat="1" applyFont="1" applyFill="1" applyBorder="1" applyAlignment="1">
      <alignment/>
    </xf>
    <xf numFmtId="166" fontId="2" fillId="7" borderId="10" xfId="42" applyNumberFormat="1" applyFont="1" applyFill="1" applyBorder="1" applyAlignment="1">
      <alignment/>
    </xf>
    <xf numFmtId="43" fontId="2" fillId="7" borderId="10" xfId="42" applyFont="1" applyFill="1" applyBorder="1" applyAlignment="1">
      <alignment/>
    </xf>
    <xf numFmtId="166" fontId="2" fillId="7" borderId="0" xfId="42" applyNumberFormat="1" applyFont="1" applyFill="1" applyBorder="1" applyAlignment="1">
      <alignment/>
    </xf>
    <xf numFmtId="43" fontId="2" fillId="7" borderId="0" xfId="42" applyFont="1" applyFill="1" applyBorder="1" applyAlignment="1">
      <alignment/>
    </xf>
    <xf numFmtId="43" fontId="2" fillId="7" borderId="0" xfId="42" applyFont="1" applyFill="1" applyAlignment="1">
      <alignment/>
    </xf>
    <xf numFmtId="166" fontId="10" fillId="7" borderId="0" xfId="42" applyNumberFormat="1" applyFont="1" applyFill="1" applyAlignment="1">
      <alignment/>
    </xf>
    <xf numFmtId="166" fontId="17" fillId="7" borderId="0" xfId="42" applyNumberFormat="1" applyFont="1" applyFill="1" applyBorder="1" applyAlignment="1">
      <alignment/>
    </xf>
    <xf numFmtId="166" fontId="16" fillId="7" borderId="10" xfId="42" applyNumberFormat="1" applyFont="1" applyFill="1" applyBorder="1" applyAlignment="1">
      <alignment/>
    </xf>
    <xf numFmtId="166" fontId="15" fillId="7" borderId="0" xfId="42" applyNumberFormat="1" applyFont="1" applyFill="1" applyAlignment="1">
      <alignment/>
    </xf>
    <xf numFmtId="166" fontId="18" fillId="7" borderId="0" xfId="42" applyNumberFormat="1" applyFont="1" applyFill="1" applyBorder="1" applyAlignment="1">
      <alignment/>
    </xf>
    <xf numFmtId="166" fontId="20" fillId="7" borderId="0" xfId="42" applyNumberFormat="1" applyFont="1" applyFill="1" applyAlignment="1">
      <alignment/>
    </xf>
    <xf numFmtId="166" fontId="20" fillId="7" borderId="0" xfId="42" applyNumberFormat="1" applyFont="1" applyFill="1" applyBorder="1" applyAlignment="1">
      <alignment/>
    </xf>
    <xf numFmtId="166" fontId="16" fillId="7" borderId="0" xfId="42" applyNumberFormat="1" applyFont="1" applyFill="1" applyAlignment="1">
      <alignment/>
    </xf>
    <xf numFmtId="166" fontId="2" fillId="7" borderId="0" xfId="0" applyNumberFormat="1" applyFont="1" applyFill="1" applyAlignment="1">
      <alignment/>
    </xf>
    <xf numFmtId="0" fontId="2" fillId="7" borderId="0" xfId="0" applyNumberFormat="1" applyFont="1" applyFill="1" applyAlignment="1">
      <alignment horizontal="left" wrapText="1"/>
    </xf>
    <xf numFmtId="37" fontId="2" fillId="6" borderId="0" xfId="42" applyNumberFormat="1" applyFont="1" applyFill="1" applyAlignment="1">
      <alignment/>
    </xf>
    <xf numFmtId="0" fontId="2" fillId="6" borderId="0" xfId="0" applyFont="1" applyFill="1" applyAlignment="1">
      <alignment/>
    </xf>
    <xf numFmtId="14" fontId="1" fillId="6" borderId="10" xfId="42" applyNumberFormat="1" applyFont="1" applyFill="1" applyBorder="1" applyAlignment="1">
      <alignment horizontal="center"/>
    </xf>
    <xf numFmtId="37" fontId="1" fillId="6" borderId="10" xfId="42" applyNumberFormat="1" applyFont="1" applyFill="1" applyBorder="1" applyAlignment="1">
      <alignment horizontal="center"/>
    </xf>
    <xf numFmtId="37" fontId="1" fillId="6" borderId="10" xfId="42" applyNumberFormat="1" applyFont="1" applyFill="1" applyBorder="1" applyAlignment="1">
      <alignment horizontal="center" wrapText="1"/>
    </xf>
    <xf numFmtId="166" fontId="18" fillId="6" borderId="0" xfId="42" applyNumberFormat="1" applyFont="1" applyFill="1" applyAlignment="1">
      <alignment/>
    </xf>
    <xf numFmtId="166" fontId="2" fillId="6" borderId="0" xfId="42" applyNumberFormat="1" applyFont="1" applyFill="1" applyAlignment="1">
      <alignment/>
    </xf>
    <xf numFmtId="37" fontId="2" fillId="6" borderId="0" xfId="42" applyNumberFormat="1" applyFont="1" applyFill="1" applyBorder="1" applyAlignment="1">
      <alignment/>
    </xf>
    <xf numFmtId="37" fontId="2" fillId="6" borderId="10" xfId="42" applyNumberFormat="1" applyFont="1" applyFill="1" applyBorder="1" applyAlignment="1">
      <alignment/>
    </xf>
    <xf numFmtId="166" fontId="2" fillId="6" borderId="10" xfId="42" applyNumberFormat="1" applyFont="1" applyFill="1" applyBorder="1" applyAlignment="1">
      <alignment/>
    </xf>
    <xf numFmtId="43" fontId="2" fillId="6" borderId="10" xfId="42" applyFont="1" applyFill="1" applyBorder="1" applyAlignment="1">
      <alignment/>
    </xf>
    <xf numFmtId="166" fontId="2" fillId="6" borderId="0" xfId="42" applyNumberFormat="1" applyFont="1" applyFill="1" applyBorder="1" applyAlignment="1">
      <alignment/>
    </xf>
    <xf numFmtId="43" fontId="2" fillId="6" borderId="0" xfId="42" applyFont="1" applyFill="1" applyBorder="1" applyAlignment="1">
      <alignment/>
    </xf>
    <xf numFmtId="43" fontId="2" fillId="6" borderId="0" xfId="42" applyFont="1" applyFill="1" applyAlignment="1">
      <alignment/>
    </xf>
    <xf numFmtId="166" fontId="10" fillId="6" borderId="0" xfId="42" applyNumberFormat="1" applyFont="1" applyFill="1" applyAlignment="1">
      <alignment/>
    </xf>
    <xf numFmtId="166" fontId="17" fillId="6" borderId="0" xfId="42" applyNumberFormat="1" applyFont="1" applyFill="1" applyBorder="1" applyAlignment="1">
      <alignment/>
    </xf>
    <xf numFmtId="0" fontId="2" fillId="6" borderId="0" xfId="0" applyFont="1" applyFill="1" applyBorder="1" applyAlignment="1">
      <alignment/>
    </xf>
    <xf numFmtId="166" fontId="16" fillId="6" borderId="10" xfId="42" applyNumberFormat="1" applyFont="1" applyFill="1" applyBorder="1" applyAlignment="1">
      <alignment/>
    </xf>
    <xf numFmtId="166" fontId="15" fillId="6" borderId="0" xfId="42" applyNumberFormat="1" applyFont="1" applyFill="1" applyAlignment="1">
      <alignment/>
    </xf>
    <xf numFmtId="166" fontId="18" fillId="6" borderId="0" xfId="42" applyNumberFormat="1" applyFont="1" applyFill="1" applyBorder="1" applyAlignment="1">
      <alignment/>
    </xf>
    <xf numFmtId="166" fontId="20" fillId="6" borderId="0" xfId="42" applyNumberFormat="1" applyFont="1" applyFill="1" applyAlignment="1">
      <alignment/>
    </xf>
    <xf numFmtId="166" fontId="20" fillId="6" borderId="0" xfId="42" applyNumberFormat="1" applyFont="1" applyFill="1" applyBorder="1" applyAlignment="1">
      <alignment/>
    </xf>
    <xf numFmtId="166" fontId="16" fillId="6" borderId="0" xfId="42" applyNumberFormat="1" applyFont="1" applyFill="1" applyAlignment="1">
      <alignment/>
    </xf>
    <xf numFmtId="166" fontId="2" fillId="6" borderId="0" xfId="0" applyNumberFormat="1" applyFont="1" applyFill="1" applyAlignment="1">
      <alignment/>
    </xf>
    <xf numFmtId="0" fontId="2" fillId="6" borderId="0" xfId="0" applyNumberFormat="1" applyFont="1" applyFill="1" applyAlignment="1">
      <alignment horizontal="left" wrapText="1"/>
    </xf>
    <xf numFmtId="0" fontId="2" fillId="10" borderId="0" xfId="0" applyFont="1" applyFill="1" applyAlignment="1">
      <alignment/>
    </xf>
    <xf numFmtId="37" fontId="2" fillId="10" borderId="0" xfId="42" applyNumberFormat="1" applyFont="1" applyFill="1" applyAlignment="1">
      <alignment/>
    </xf>
    <xf numFmtId="37" fontId="2" fillId="10" borderId="0" xfId="42" applyNumberFormat="1" applyFont="1" applyFill="1" applyBorder="1" applyAlignment="1">
      <alignment/>
    </xf>
    <xf numFmtId="37" fontId="2" fillId="53" borderId="0" xfId="42" applyNumberFormat="1" applyFont="1" applyFill="1" applyAlignment="1">
      <alignment/>
    </xf>
    <xf numFmtId="14" fontId="1" fillId="53" borderId="10" xfId="42" applyNumberFormat="1" applyFont="1" applyFill="1" applyBorder="1" applyAlignment="1">
      <alignment horizontal="center"/>
    </xf>
    <xf numFmtId="37" fontId="1" fillId="53" borderId="10" xfId="42" applyNumberFormat="1" applyFont="1" applyFill="1" applyBorder="1" applyAlignment="1">
      <alignment horizontal="center"/>
    </xf>
    <xf numFmtId="37" fontId="1" fillId="53" borderId="10" xfId="42" applyNumberFormat="1" applyFont="1" applyFill="1" applyBorder="1" applyAlignment="1">
      <alignment horizontal="center" wrapText="1"/>
    </xf>
    <xf numFmtId="37" fontId="18" fillId="53" borderId="0" xfId="42" applyNumberFormat="1" applyFont="1" applyFill="1" applyAlignment="1">
      <alignment horizontal="center"/>
    </xf>
    <xf numFmtId="166" fontId="18" fillId="53" borderId="0" xfId="42" applyNumberFormat="1" applyFont="1" applyFill="1" applyAlignment="1">
      <alignment/>
    </xf>
    <xf numFmtId="166" fontId="2" fillId="53" borderId="0" xfId="42" applyNumberFormat="1" applyFont="1" applyFill="1" applyAlignment="1">
      <alignment/>
    </xf>
    <xf numFmtId="43" fontId="2" fillId="53" borderId="0" xfId="42" applyFont="1" applyFill="1" applyBorder="1" applyAlignment="1">
      <alignment/>
    </xf>
    <xf numFmtId="43" fontId="2" fillId="53" borderId="10" xfId="42" applyFont="1" applyFill="1" applyBorder="1" applyAlignment="1">
      <alignment/>
    </xf>
    <xf numFmtId="166" fontId="2" fillId="53" borderId="10" xfId="42" applyNumberFormat="1" applyFont="1" applyFill="1" applyBorder="1" applyAlignment="1">
      <alignment/>
    </xf>
    <xf numFmtId="0" fontId="6" fillId="53" borderId="0" xfId="0" applyFont="1" applyFill="1" applyAlignment="1">
      <alignment horizontal="center"/>
    </xf>
    <xf numFmtId="37" fontId="2" fillId="53" borderId="0" xfId="42" applyNumberFormat="1" applyFont="1" applyFill="1" applyBorder="1" applyAlignment="1">
      <alignment/>
    </xf>
    <xf numFmtId="166" fontId="2" fillId="53" borderId="0" xfId="42" applyNumberFormat="1" applyFont="1" applyFill="1" applyBorder="1" applyAlignment="1">
      <alignment/>
    </xf>
    <xf numFmtId="43" fontId="2" fillId="53" borderId="0" xfId="42" applyFont="1" applyFill="1" applyAlignment="1">
      <alignment/>
    </xf>
    <xf numFmtId="166" fontId="6" fillId="53" borderId="0" xfId="42" applyNumberFormat="1" applyFont="1" applyFill="1" applyAlignment="1">
      <alignment/>
    </xf>
    <xf numFmtId="0" fontId="2" fillId="53" borderId="0" xfId="0" applyFont="1" applyFill="1" applyAlignment="1">
      <alignment/>
    </xf>
    <xf numFmtId="166" fontId="10" fillId="53" borderId="0" xfId="42" applyNumberFormat="1" applyFont="1" applyFill="1" applyBorder="1" applyAlignment="1">
      <alignment horizontal="right"/>
    </xf>
    <xf numFmtId="37" fontId="2" fillId="53" borderId="10" xfId="42" applyNumberFormat="1" applyFont="1" applyFill="1" applyBorder="1" applyAlignment="1">
      <alignment/>
    </xf>
    <xf numFmtId="0" fontId="15" fillId="53" borderId="0" xfId="0" applyFont="1" applyFill="1" applyAlignment="1">
      <alignment horizontal="center"/>
    </xf>
    <xf numFmtId="166" fontId="15" fillId="53" borderId="0" xfId="42" applyNumberFormat="1" applyFont="1" applyFill="1" applyBorder="1" applyAlignment="1">
      <alignment/>
    </xf>
    <xf numFmtId="0" fontId="15" fillId="53" borderId="0" xfId="0" applyFont="1" applyFill="1" applyBorder="1" applyAlignment="1">
      <alignment horizontal="center"/>
    </xf>
    <xf numFmtId="166" fontId="15" fillId="53" borderId="10" xfId="42" applyNumberFormat="1" applyFont="1" applyFill="1" applyBorder="1" applyAlignment="1">
      <alignment/>
    </xf>
    <xf numFmtId="37" fontId="6" fillId="53" borderId="0" xfId="42" applyNumberFormat="1" applyFont="1" applyFill="1" applyAlignment="1">
      <alignment/>
    </xf>
    <xf numFmtId="166" fontId="10" fillId="53" borderId="0" xfId="42" applyNumberFormat="1" applyFont="1" applyFill="1" applyBorder="1" applyAlignment="1">
      <alignment horizontal="center"/>
    </xf>
    <xf numFmtId="0" fontId="14" fillId="53" borderId="0" xfId="0" applyFont="1" applyFill="1" applyAlignment="1">
      <alignment horizontal="center"/>
    </xf>
    <xf numFmtId="166" fontId="14" fillId="53" borderId="0" xfId="42" applyNumberFormat="1" applyFont="1" applyFill="1" applyAlignment="1">
      <alignment/>
    </xf>
    <xf numFmtId="0" fontId="18" fillId="53" borderId="0" xfId="0" applyFont="1" applyFill="1" applyAlignment="1">
      <alignment horizontal="center"/>
    </xf>
    <xf numFmtId="166" fontId="6" fillId="53" borderId="0" xfId="42" applyNumberFormat="1" applyFont="1" applyFill="1" applyBorder="1" applyAlignment="1">
      <alignment horizontal="center"/>
    </xf>
    <xf numFmtId="166" fontId="18" fillId="53" borderId="0" xfId="42" applyNumberFormat="1" applyFont="1" applyFill="1" applyBorder="1" applyAlignment="1">
      <alignment horizontal="center"/>
    </xf>
    <xf numFmtId="166" fontId="18" fillId="53" borderId="0" xfId="42" applyNumberFormat="1" applyFont="1" applyFill="1" applyBorder="1" applyAlignment="1">
      <alignment/>
    </xf>
    <xf numFmtId="37" fontId="20" fillId="53" borderId="0" xfId="42" applyNumberFormat="1" applyFont="1" applyFill="1" applyAlignment="1">
      <alignment horizontal="center"/>
    </xf>
    <xf numFmtId="166" fontId="20" fillId="53" borderId="0" xfId="42" applyNumberFormat="1" applyFont="1" applyFill="1" applyAlignment="1">
      <alignment/>
    </xf>
    <xf numFmtId="166" fontId="14" fillId="53" borderId="0" xfId="42" applyNumberFormat="1" applyFont="1" applyFill="1" applyBorder="1" applyAlignment="1">
      <alignment/>
    </xf>
    <xf numFmtId="166" fontId="15" fillId="53" borderId="0" xfId="42" applyNumberFormat="1" applyFont="1" applyFill="1" applyAlignment="1">
      <alignment/>
    </xf>
    <xf numFmtId="166" fontId="2" fillId="53" borderId="0" xfId="0" applyNumberFormat="1" applyFont="1" applyFill="1" applyAlignment="1">
      <alignment/>
    </xf>
    <xf numFmtId="166" fontId="4" fillId="53" borderId="0" xfId="53" applyNumberFormat="1" applyFont="1" applyFill="1" applyAlignment="1" applyProtection="1">
      <alignment/>
      <protection/>
    </xf>
    <xf numFmtId="37" fontId="18" fillId="7" borderId="0" xfId="42" applyNumberFormat="1" applyFont="1" applyFill="1" applyAlignment="1">
      <alignment/>
    </xf>
    <xf numFmtId="0" fontId="6" fillId="7" borderId="0" xfId="0" applyFont="1" applyFill="1" applyAlignment="1">
      <alignment horizontal="center"/>
    </xf>
    <xf numFmtId="37" fontId="6" fillId="7" borderId="0" xfId="42" applyNumberFormat="1" applyFont="1" applyFill="1" applyBorder="1" applyAlignment="1">
      <alignment horizontal="center"/>
    </xf>
    <xf numFmtId="166" fontId="6" fillId="7" borderId="0" xfId="42" applyNumberFormat="1" applyFont="1" applyFill="1" applyAlignment="1">
      <alignment/>
    </xf>
    <xf numFmtId="166" fontId="10" fillId="7" borderId="0" xfId="42" applyNumberFormat="1" applyFont="1" applyFill="1" applyBorder="1" applyAlignment="1">
      <alignment horizontal="right"/>
    </xf>
    <xf numFmtId="0" fontId="17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37" fontId="2" fillId="7" borderId="0" xfId="42" applyNumberFormat="1" applyFont="1" applyFill="1" applyAlignment="1">
      <alignment horizontal="center"/>
    </xf>
    <xf numFmtId="37" fontId="6" fillId="7" borderId="0" xfId="42" applyNumberFormat="1" applyFont="1" applyFill="1" applyAlignment="1">
      <alignment/>
    </xf>
    <xf numFmtId="166" fontId="10" fillId="7" borderId="0" xfId="42" applyNumberFormat="1" applyFont="1" applyFill="1" applyBorder="1" applyAlignment="1">
      <alignment horizontal="center"/>
    </xf>
    <xf numFmtId="166" fontId="15" fillId="7" borderId="0" xfId="42" applyNumberFormat="1" applyFont="1" applyFill="1" applyBorder="1" applyAlignment="1">
      <alignment/>
    </xf>
    <xf numFmtId="0" fontId="18" fillId="7" borderId="0" xfId="0" applyFont="1" applyFill="1" applyAlignment="1">
      <alignment horizontal="center"/>
    </xf>
    <xf numFmtId="166" fontId="6" fillId="7" borderId="0" xfId="42" applyNumberFormat="1" applyFont="1" applyFill="1" applyBorder="1" applyAlignment="1">
      <alignment horizontal="center"/>
    </xf>
    <xf numFmtId="166" fontId="18" fillId="7" borderId="0" xfId="42" applyNumberFormat="1" applyFont="1" applyFill="1" applyBorder="1" applyAlignment="1">
      <alignment horizontal="center"/>
    </xf>
    <xf numFmtId="0" fontId="20" fillId="7" borderId="0" xfId="0" applyFont="1" applyFill="1" applyAlignment="1">
      <alignment horizontal="center"/>
    </xf>
    <xf numFmtId="166" fontId="2" fillId="7" borderId="0" xfId="42" applyNumberFormat="1" applyFont="1" applyFill="1" applyBorder="1" applyAlignment="1">
      <alignment horizontal="center"/>
    </xf>
    <xf numFmtId="166" fontId="20" fillId="7" borderId="0" xfId="42" applyNumberFormat="1" applyFont="1" applyFill="1" applyBorder="1" applyAlignment="1">
      <alignment horizontal="center"/>
    </xf>
    <xf numFmtId="37" fontId="20" fillId="7" borderId="0" xfId="42" applyNumberFormat="1" applyFont="1" applyFill="1" applyAlignment="1">
      <alignment horizontal="center"/>
    </xf>
    <xf numFmtId="37" fontId="6" fillId="7" borderId="0" xfId="42" applyNumberFormat="1" applyFont="1" applyFill="1" applyAlignment="1">
      <alignment horizontal="center"/>
    </xf>
    <xf numFmtId="37" fontId="1" fillId="9" borderId="0" xfId="42" applyNumberFormat="1" applyFont="1" applyFill="1" applyAlignment="1">
      <alignment/>
    </xf>
    <xf numFmtId="37" fontId="1" fillId="9" borderId="0" xfId="42" applyNumberFormat="1" applyFont="1" applyFill="1" applyBorder="1" applyAlignment="1">
      <alignment/>
    </xf>
    <xf numFmtId="14" fontId="1" fillId="10" borderId="10" xfId="42" applyNumberFormat="1" applyFont="1" applyFill="1" applyBorder="1" applyAlignment="1">
      <alignment horizontal="center"/>
    </xf>
    <xf numFmtId="14" fontId="1" fillId="10" borderId="0" xfId="42" applyNumberFormat="1" applyFont="1" applyFill="1" applyBorder="1" applyAlignment="1">
      <alignment horizontal="center"/>
    </xf>
    <xf numFmtId="37" fontId="1" fillId="10" borderId="10" xfId="42" applyNumberFormat="1" applyFont="1" applyFill="1" applyBorder="1" applyAlignment="1">
      <alignment horizontal="center"/>
    </xf>
    <xf numFmtId="37" fontId="1" fillId="10" borderId="10" xfId="42" applyNumberFormat="1" applyFont="1" applyFill="1" applyBorder="1" applyAlignment="1">
      <alignment horizontal="center" wrapText="1"/>
    </xf>
    <xf numFmtId="164" fontId="71" fillId="10" borderId="0" xfId="0" applyNumberFormat="1" applyFont="1" applyFill="1" applyAlignment="1">
      <alignment/>
    </xf>
    <xf numFmtId="37" fontId="18" fillId="10" borderId="0" xfId="42" applyNumberFormat="1" applyFont="1" applyFill="1" applyAlignment="1">
      <alignment horizontal="center"/>
    </xf>
    <xf numFmtId="166" fontId="18" fillId="10" borderId="0" xfId="42" applyNumberFormat="1" applyFont="1" applyFill="1" applyAlignment="1">
      <alignment/>
    </xf>
    <xf numFmtId="166" fontId="2" fillId="10" borderId="0" xfId="42" applyNumberFormat="1" applyFont="1" applyFill="1" applyAlignment="1">
      <alignment/>
    </xf>
    <xf numFmtId="166" fontId="2" fillId="10" borderId="0" xfId="42" applyNumberFormat="1" applyFont="1" applyFill="1" applyBorder="1" applyAlignment="1">
      <alignment/>
    </xf>
    <xf numFmtId="166" fontId="2" fillId="10" borderId="10" xfId="42" applyNumberFormat="1" applyFont="1" applyFill="1" applyBorder="1" applyAlignment="1">
      <alignment/>
    </xf>
    <xf numFmtId="0" fontId="6" fillId="10" borderId="0" xfId="0" applyFont="1" applyFill="1" applyAlignment="1">
      <alignment horizontal="center"/>
    </xf>
    <xf numFmtId="43" fontId="2" fillId="10" borderId="10" xfId="42" applyFont="1" applyFill="1" applyBorder="1" applyAlignment="1">
      <alignment/>
    </xf>
    <xf numFmtId="43" fontId="2" fillId="10" borderId="0" xfId="42" applyFont="1" applyFill="1" applyBorder="1" applyAlignment="1">
      <alignment/>
    </xf>
    <xf numFmtId="166" fontId="6" fillId="10" borderId="0" xfId="42" applyNumberFormat="1" applyFont="1" applyFill="1" applyAlignment="1">
      <alignment/>
    </xf>
    <xf numFmtId="166" fontId="10" fillId="10" borderId="0" xfId="42" applyNumberFormat="1" applyFont="1" applyFill="1" applyBorder="1" applyAlignment="1">
      <alignment horizontal="right"/>
    </xf>
    <xf numFmtId="166" fontId="10" fillId="10" borderId="0" xfId="42" applyNumberFormat="1" applyFont="1" applyFill="1" applyAlignment="1">
      <alignment/>
    </xf>
    <xf numFmtId="0" fontId="14" fillId="10" borderId="0" xfId="0" applyFont="1" applyFill="1" applyAlignment="1">
      <alignment horizontal="center"/>
    </xf>
    <xf numFmtId="166" fontId="14" fillId="10" borderId="0" xfId="42" applyNumberFormat="1" applyFont="1" applyFill="1" applyBorder="1" applyAlignment="1">
      <alignment/>
    </xf>
    <xf numFmtId="0" fontId="14" fillId="10" borderId="0" xfId="0" applyFont="1" applyFill="1" applyBorder="1" applyAlignment="1">
      <alignment horizontal="center"/>
    </xf>
    <xf numFmtId="166" fontId="14" fillId="10" borderId="10" xfId="42" applyNumberFormat="1" applyFont="1" applyFill="1" applyBorder="1" applyAlignment="1">
      <alignment/>
    </xf>
    <xf numFmtId="166" fontId="6" fillId="10" borderId="0" xfId="42" applyNumberFormat="1" applyFont="1" applyFill="1" applyBorder="1" applyAlignment="1">
      <alignment horizontal="center"/>
    </xf>
    <xf numFmtId="166" fontId="10" fillId="10" borderId="0" xfId="42" applyNumberFormat="1" applyFont="1" applyFill="1" applyBorder="1" applyAlignment="1">
      <alignment horizontal="center"/>
    </xf>
    <xf numFmtId="0" fontId="18" fillId="10" borderId="0" xfId="0" applyFont="1" applyFill="1" applyAlignment="1">
      <alignment horizontal="center"/>
    </xf>
    <xf numFmtId="0" fontId="2" fillId="10" borderId="0" xfId="0" applyFont="1" applyFill="1" applyBorder="1" applyAlignment="1">
      <alignment/>
    </xf>
    <xf numFmtId="166" fontId="18" fillId="10" borderId="0" xfId="42" applyNumberFormat="1" applyFont="1" applyFill="1" applyBorder="1" applyAlignment="1">
      <alignment horizontal="center"/>
    </xf>
    <xf numFmtId="166" fontId="18" fillId="10" borderId="0" xfId="42" applyNumberFormat="1" applyFont="1" applyFill="1" applyBorder="1" applyAlignment="1">
      <alignment/>
    </xf>
    <xf numFmtId="166" fontId="2" fillId="10" borderId="0" xfId="42" applyNumberFormat="1" applyFont="1" applyFill="1" applyBorder="1" applyAlignment="1">
      <alignment horizontal="center"/>
    </xf>
    <xf numFmtId="166" fontId="14" fillId="10" borderId="0" xfId="42" applyNumberFormat="1" applyFont="1" applyFill="1" applyAlignment="1">
      <alignment/>
    </xf>
    <xf numFmtId="166" fontId="2" fillId="10" borderId="0" xfId="0" applyNumberFormat="1" applyFont="1" applyFill="1" applyAlignment="1">
      <alignment/>
    </xf>
    <xf numFmtId="166" fontId="2" fillId="10" borderId="0" xfId="0" applyNumberFormat="1" applyFont="1" applyFill="1" applyBorder="1" applyAlignment="1">
      <alignment/>
    </xf>
    <xf numFmtId="166" fontId="4" fillId="10" borderId="0" xfId="53" applyNumberFormat="1" applyFont="1" applyFill="1" applyAlignment="1" applyProtection="1">
      <alignment/>
      <protection/>
    </xf>
    <xf numFmtId="0" fontId="1" fillId="9" borderId="0" xfId="0" applyFont="1" applyFill="1" applyAlignment="1">
      <alignment/>
    </xf>
    <xf numFmtId="37" fontId="1" fillId="9" borderId="0" xfId="42" applyNumberFormat="1" applyFont="1" applyFill="1" applyAlignment="1">
      <alignment horizontal="right"/>
    </xf>
    <xf numFmtId="166" fontId="1" fillId="6" borderId="0" xfId="42" applyNumberFormat="1" applyFont="1" applyFill="1" applyAlignment="1">
      <alignment/>
    </xf>
    <xf numFmtId="0" fontId="1" fillId="6" borderId="0" xfId="0" applyFont="1" applyFill="1" applyAlignment="1">
      <alignment/>
    </xf>
    <xf numFmtId="37" fontId="1" fillId="6" borderId="0" xfId="42" applyNumberFormat="1" applyFont="1" applyFill="1" applyAlignment="1">
      <alignment/>
    </xf>
    <xf numFmtId="166" fontId="1" fillId="6" borderId="10" xfId="42" applyNumberFormat="1" applyFont="1" applyFill="1" applyBorder="1" applyAlignment="1">
      <alignment/>
    </xf>
    <xf numFmtId="166" fontId="1" fillId="6" borderId="0" xfId="42" applyNumberFormat="1" applyFont="1" applyFill="1" applyBorder="1" applyAlignment="1">
      <alignment/>
    </xf>
    <xf numFmtId="14" fontId="9" fillId="12" borderId="10" xfId="42" applyNumberFormat="1" applyFont="1" applyFill="1" applyBorder="1" applyAlignment="1">
      <alignment horizontal="center"/>
    </xf>
    <xf numFmtId="43" fontId="72" fillId="12" borderId="0" xfId="42" applyFont="1" applyFill="1" applyAlignment="1">
      <alignment/>
    </xf>
    <xf numFmtId="43" fontId="72" fillId="12" borderId="10" xfId="42" applyFont="1" applyFill="1" applyBorder="1" applyAlignment="1">
      <alignment/>
    </xf>
    <xf numFmtId="43" fontId="72" fillId="12" borderId="0" xfId="42" applyFont="1" applyFill="1" applyBorder="1" applyAlignment="1">
      <alignment/>
    </xf>
    <xf numFmtId="43" fontId="8" fillId="12" borderId="0" xfId="42" applyFont="1" applyFill="1" applyAlignment="1">
      <alignment/>
    </xf>
    <xf numFmtId="14" fontId="9" fillId="13" borderId="10" xfId="42" applyNumberFormat="1" applyFont="1" applyFill="1" applyBorder="1" applyAlignment="1">
      <alignment horizontal="center"/>
    </xf>
    <xf numFmtId="43" fontId="72" fillId="13" borderId="0" xfId="42" applyFont="1" applyFill="1" applyAlignment="1">
      <alignment/>
    </xf>
    <xf numFmtId="43" fontId="72" fillId="13" borderId="10" xfId="42" applyFont="1" applyFill="1" applyBorder="1" applyAlignment="1">
      <alignment/>
    </xf>
    <xf numFmtId="43" fontId="72" fillId="13" borderId="0" xfId="42" applyFont="1" applyFill="1" applyBorder="1" applyAlignment="1">
      <alignment/>
    </xf>
    <xf numFmtId="43" fontId="8" fillId="13" borderId="0" xfId="42" applyFont="1" applyFill="1" applyAlignment="1">
      <alignment/>
    </xf>
    <xf numFmtId="14" fontId="9" fillId="54" borderId="10" xfId="42" applyNumberFormat="1" applyFont="1" applyFill="1" applyBorder="1" applyAlignment="1">
      <alignment horizontal="center"/>
    </xf>
    <xf numFmtId="43" fontId="72" fillId="54" borderId="0" xfId="42" applyFont="1" applyFill="1" applyAlignment="1">
      <alignment/>
    </xf>
    <xf numFmtId="43" fontId="72" fillId="54" borderId="10" xfId="42" applyFont="1" applyFill="1" applyBorder="1" applyAlignment="1">
      <alignment/>
    </xf>
    <xf numFmtId="43" fontId="72" fillId="54" borderId="0" xfId="42" applyFont="1" applyFill="1" applyBorder="1" applyAlignment="1">
      <alignment/>
    </xf>
    <xf numFmtId="43" fontId="8" fillId="54" borderId="0" xfId="42" applyFont="1" applyFill="1" applyAlignment="1">
      <alignment/>
    </xf>
    <xf numFmtId="14" fontId="9" fillId="12" borderId="10" xfId="42" applyNumberFormat="1" applyFont="1" applyFill="1" applyBorder="1" applyAlignment="1">
      <alignment/>
    </xf>
    <xf numFmtId="43" fontId="72" fillId="12" borderId="0" xfId="42" applyFont="1" applyFill="1" applyAlignment="1">
      <alignment/>
    </xf>
    <xf numFmtId="43" fontId="72" fillId="12" borderId="10" xfId="42" applyFont="1" applyFill="1" applyBorder="1" applyAlignment="1">
      <alignment/>
    </xf>
    <xf numFmtId="43" fontId="72" fillId="12" borderId="0" xfId="42" applyFont="1" applyFill="1" applyBorder="1" applyAlignment="1">
      <alignment/>
    </xf>
    <xf numFmtId="43" fontId="8" fillId="12" borderId="0" xfId="42" applyFont="1" applyFill="1" applyAlignment="1">
      <alignment/>
    </xf>
    <xf numFmtId="43" fontId="70" fillId="12" borderId="0" xfId="42" applyFont="1" applyFill="1" applyBorder="1" applyAlignment="1">
      <alignment/>
    </xf>
    <xf numFmtId="43" fontId="70" fillId="12" borderId="0" xfId="42" applyFont="1" applyFill="1" applyBorder="1" applyAlignment="1">
      <alignment/>
    </xf>
    <xf numFmtId="43" fontId="70" fillId="13" borderId="0" xfId="42" applyFont="1" applyFill="1" applyBorder="1" applyAlignment="1">
      <alignment/>
    </xf>
    <xf numFmtId="43" fontId="70" fillId="54" borderId="0" xfId="42" applyFont="1" applyFill="1" applyBorder="1" applyAlignment="1">
      <alignment/>
    </xf>
    <xf numFmtId="43" fontId="70" fillId="12" borderId="0" xfId="42" applyFont="1" applyFill="1" applyAlignment="1">
      <alignment/>
    </xf>
    <xf numFmtId="43" fontId="70" fillId="12" borderId="0" xfId="42" applyFont="1" applyFill="1" applyAlignment="1">
      <alignment/>
    </xf>
    <xf numFmtId="43" fontId="70" fillId="13" borderId="0" xfId="42" applyFont="1" applyFill="1" applyAlignment="1">
      <alignment/>
    </xf>
    <xf numFmtId="43" fontId="70" fillId="54" borderId="0" xfId="42" applyFont="1" applyFill="1" applyAlignment="1">
      <alignment/>
    </xf>
    <xf numFmtId="0" fontId="9" fillId="12" borderId="11" xfId="0" applyFont="1" applyFill="1" applyBorder="1" applyAlignment="1">
      <alignment/>
    </xf>
    <xf numFmtId="166" fontId="9" fillId="12" borderId="11" xfId="42" applyNumberFormat="1" applyFont="1" applyFill="1" applyBorder="1" applyAlignment="1">
      <alignment/>
    </xf>
    <xf numFmtId="14" fontId="9" fillId="0" borderId="10" xfId="0" applyNumberFormat="1" applyFont="1" applyBorder="1" applyAlignment="1" quotePrefix="1">
      <alignment horizontal="center"/>
    </xf>
    <xf numFmtId="0" fontId="9" fillId="0" borderId="0" xfId="0" applyFont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75" fillId="16" borderId="11" xfId="0" applyFont="1" applyFill="1" applyBorder="1" applyAlignment="1">
      <alignment/>
    </xf>
    <xf numFmtId="168" fontId="75" fillId="16" borderId="11" xfId="42" applyNumberFormat="1" applyFont="1" applyFill="1" applyBorder="1" applyAlignment="1">
      <alignment/>
    </xf>
    <xf numFmtId="166" fontId="75" fillId="16" borderId="11" xfId="42" applyNumberFormat="1" applyFont="1" applyFill="1" applyBorder="1" applyAlignment="1">
      <alignment/>
    </xf>
    <xf numFmtId="43" fontId="75" fillId="16" borderId="11" xfId="42" applyNumberFormat="1" applyFont="1" applyFill="1" applyBorder="1" applyAlignment="1">
      <alignment/>
    </xf>
    <xf numFmtId="49" fontId="75" fillId="55" borderId="11" xfId="0" applyNumberFormat="1" applyFont="1" applyFill="1" applyBorder="1" applyAlignment="1">
      <alignment/>
    </xf>
    <xf numFmtId="43" fontId="73" fillId="55" borderId="11" xfId="42" applyFont="1" applyFill="1" applyBorder="1" applyAlignment="1">
      <alignment/>
    </xf>
    <xf numFmtId="43" fontId="73" fillId="55" borderId="11" xfId="42" applyFont="1" applyFill="1" applyBorder="1" applyAlignment="1">
      <alignment/>
    </xf>
    <xf numFmtId="0" fontId="73" fillId="55" borderId="11" xfId="0" applyFont="1" applyFill="1" applyBorder="1" applyAlignment="1">
      <alignment/>
    </xf>
    <xf numFmtId="0" fontId="9" fillId="9" borderId="11" xfId="0" applyFont="1" applyFill="1" applyBorder="1" applyAlignment="1">
      <alignment/>
    </xf>
    <xf numFmtId="166" fontId="9" fillId="9" borderId="11" xfId="42" applyNumberFormat="1" applyFont="1" applyFill="1" applyBorder="1" applyAlignment="1">
      <alignment/>
    </xf>
    <xf numFmtId="166" fontId="75" fillId="0" borderId="0" xfId="42" applyNumberFormat="1" applyFont="1" applyBorder="1" applyAlignment="1">
      <alignment/>
    </xf>
    <xf numFmtId="49" fontId="76" fillId="0" borderId="0" xfId="53" applyNumberFormat="1" applyFont="1" applyAlignment="1" applyProtection="1">
      <alignment horizontal="right"/>
      <protection/>
    </xf>
    <xf numFmtId="0" fontId="77" fillId="0" borderId="0" xfId="53" applyFont="1" applyAlignment="1" applyProtection="1">
      <alignment horizontal="right"/>
      <protection/>
    </xf>
    <xf numFmtId="49" fontId="75" fillId="0" borderId="0" xfId="0" applyNumberFormat="1" applyFont="1" applyAlignment="1">
      <alignment horizontal="right"/>
    </xf>
    <xf numFmtId="49" fontId="73" fillId="0" borderId="0" xfId="0" applyNumberFormat="1" applyFont="1" applyAlignment="1">
      <alignment horizontal="right"/>
    </xf>
    <xf numFmtId="49" fontId="78" fillId="0" borderId="0" xfId="0" applyNumberFormat="1" applyFont="1" applyAlignment="1">
      <alignment horizontal="right"/>
    </xf>
    <xf numFmtId="49" fontId="77" fillId="0" borderId="0" xfId="53" applyNumberFormat="1" applyFont="1" applyAlignment="1" applyProtection="1">
      <alignment horizontal="right"/>
      <protection/>
    </xf>
    <xf numFmtId="49" fontId="79" fillId="0" borderId="0" xfId="0" applyNumberFormat="1" applyFont="1" applyAlignment="1">
      <alignment horizontal="right"/>
    </xf>
    <xf numFmtId="43" fontId="72" fillId="19" borderId="0" xfId="42" applyFont="1" applyFill="1" applyAlignment="1">
      <alignment/>
    </xf>
    <xf numFmtId="43" fontId="72" fillId="19" borderId="0" xfId="42" applyFont="1" applyFill="1" applyAlignment="1">
      <alignment/>
    </xf>
    <xf numFmtId="43" fontId="72" fillId="56" borderId="0" xfId="42" applyFont="1" applyFill="1" applyAlignment="1">
      <alignment/>
    </xf>
    <xf numFmtId="43" fontId="72" fillId="54" borderId="0" xfId="42" applyFont="1" applyFill="1" applyAlignment="1">
      <alignment/>
    </xf>
    <xf numFmtId="49" fontId="70" fillId="0" borderId="0" xfId="0" applyNumberFormat="1" applyFont="1" applyBorder="1" applyAlignment="1">
      <alignment/>
    </xf>
    <xf numFmtId="49" fontId="79" fillId="0" borderId="0" xfId="0" applyNumberFormat="1" applyFont="1" applyBorder="1" applyAlignment="1">
      <alignment horizontal="right"/>
    </xf>
    <xf numFmtId="43" fontId="80" fillId="57" borderId="0" xfId="42" applyFont="1" applyFill="1" applyAlignment="1">
      <alignment/>
    </xf>
    <xf numFmtId="43" fontId="80" fillId="57" borderId="10" xfId="42" applyFont="1" applyFill="1" applyBorder="1" applyAlignment="1">
      <alignment/>
    </xf>
    <xf numFmtId="43" fontId="72" fillId="19" borderId="0" xfId="42" applyFont="1" applyFill="1" applyBorder="1" applyAlignment="1">
      <alignment/>
    </xf>
    <xf numFmtId="43" fontId="72" fillId="58" borderId="0" xfId="42" applyFont="1" applyFill="1" applyAlignment="1">
      <alignment/>
    </xf>
    <xf numFmtId="43" fontId="72" fillId="59" borderId="0" xfId="42" applyFont="1" applyFill="1" applyAlignment="1">
      <alignment/>
    </xf>
    <xf numFmtId="43" fontId="72" fillId="59" borderId="10" xfId="42" applyFont="1" applyFill="1" applyBorder="1" applyAlignment="1">
      <alignment/>
    </xf>
    <xf numFmtId="43" fontId="72" fillId="58" borderId="0" xfId="42" applyFont="1" applyFill="1" applyBorder="1" applyAlignment="1">
      <alignment/>
    </xf>
    <xf numFmtId="43" fontId="72" fillId="59" borderId="0" xfId="42" applyFont="1" applyFill="1" applyBorder="1" applyAlignment="1">
      <alignment/>
    </xf>
    <xf numFmtId="43" fontId="72" fillId="60" borderId="10" xfId="42" applyFont="1" applyFill="1" applyBorder="1" applyAlignment="1">
      <alignment/>
    </xf>
    <xf numFmtId="43" fontId="72" fillId="60" borderId="0" xfId="42" applyFont="1" applyFill="1" applyAlignment="1">
      <alignment/>
    </xf>
    <xf numFmtId="43" fontId="72" fillId="23" borderId="0" xfId="42" applyFont="1" applyFill="1" applyAlignment="1">
      <alignment/>
    </xf>
    <xf numFmtId="0" fontId="23" fillId="0" borderId="0" xfId="0" applyFont="1" applyAlignment="1">
      <alignment/>
    </xf>
    <xf numFmtId="0" fontId="2" fillId="0" borderId="0" xfId="0" applyNumberFormat="1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Relationship Id="rId3" Type="http://schemas.openxmlformats.org/officeDocument/2006/relationships/image" Target="../media/image3.bmp" /><Relationship Id="rId4" Type="http://schemas.openxmlformats.org/officeDocument/2006/relationships/image" Target="../media/image4.bmp" /><Relationship Id="rId5" Type="http://schemas.openxmlformats.org/officeDocument/2006/relationships/image" Target="../media/image5.bmp" /><Relationship Id="rId6" Type="http://schemas.openxmlformats.org/officeDocument/2006/relationships/image" Target="../media/image6.bmp" /><Relationship Id="rId7" Type="http://schemas.openxmlformats.org/officeDocument/2006/relationships/image" Target="../media/image7.bmp" /><Relationship Id="rId8" Type="http://schemas.openxmlformats.org/officeDocument/2006/relationships/image" Target="../media/image8.bmp" /><Relationship Id="rId9" Type="http://schemas.openxmlformats.org/officeDocument/2006/relationships/image" Target="../media/image9.bmp" /><Relationship Id="rId10" Type="http://schemas.openxmlformats.org/officeDocument/2006/relationships/image" Target="../media/image10.bmp" /><Relationship Id="rId11" Type="http://schemas.openxmlformats.org/officeDocument/2006/relationships/image" Target="../media/image11.bmp" /><Relationship Id="rId12" Type="http://schemas.openxmlformats.org/officeDocument/2006/relationships/image" Target="../media/image12.bmp" /><Relationship Id="rId13" Type="http://schemas.openxmlformats.org/officeDocument/2006/relationships/image" Target="../media/image13.bmp" /><Relationship Id="rId14" Type="http://schemas.openxmlformats.org/officeDocument/2006/relationships/image" Target="../media/image1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171450</xdr:colOff>
      <xdr:row>78</xdr:row>
      <xdr:rowOff>171450</xdr:rowOff>
    </xdr:to>
    <xdr:pic>
      <xdr:nvPicPr>
        <xdr:cNvPr id="1" name="Picture 1" descr="Circle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15268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78</xdr:row>
      <xdr:rowOff>171450</xdr:rowOff>
    </xdr:from>
    <xdr:to>
      <xdr:col>2</xdr:col>
      <xdr:colOff>85725</xdr:colOff>
      <xdr:row>83</xdr:row>
      <xdr:rowOff>0</xdr:rowOff>
    </xdr:to>
    <xdr:sp>
      <xdr:nvSpPr>
        <xdr:cNvPr id="2" name="Line 2"/>
        <xdr:cNvSpPr>
          <a:spLocks/>
        </xdr:cNvSpPr>
      </xdr:nvSpPr>
      <xdr:spPr>
        <a:xfrm>
          <a:off x="5000625" y="15440025"/>
          <a:ext cx="0" cy="781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257175</xdr:colOff>
      <xdr:row>172</xdr:row>
      <xdr:rowOff>171450</xdr:rowOff>
    </xdr:to>
    <xdr:pic>
      <xdr:nvPicPr>
        <xdr:cNvPr id="3" name="Picture 3" descr="Sum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33232725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171450</xdr:colOff>
      <xdr:row>78</xdr:row>
      <xdr:rowOff>171450</xdr:rowOff>
    </xdr:to>
    <xdr:pic>
      <xdr:nvPicPr>
        <xdr:cNvPr id="4" name="Picture 9" descr="Circled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63200" y="15268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78</xdr:row>
      <xdr:rowOff>171450</xdr:rowOff>
    </xdr:from>
    <xdr:to>
      <xdr:col>8</xdr:col>
      <xdr:colOff>76200</xdr:colOff>
      <xdr:row>83</xdr:row>
      <xdr:rowOff>0</xdr:rowOff>
    </xdr:to>
    <xdr:sp>
      <xdr:nvSpPr>
        <xdr:cNvPr id="5" name="Line 11"/>
        <xdr:cNvSpPr>
          <a:spLocks/>
        </xdr:cNvSpPr>
      </xdr:nvSpPr>
      <xdr:spPr>
        <a:xfrm>
          <a:off x="10439400" y="15440025"/>
          <a:ext cx="0" cy="781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172</xdr:row>
      <xdr:rowOff>0</xdr:rowOff>
    </xdr:from>
    <xdr:to>
      <xdr:col>8</xdr:col>
      <xdr:colOff>257175</xdr:colOff>
      <xdr:row>172</xdr:row>
      <xdr:rowOff>171450</xdr:rowOff>
    </xdr:to>
    <xdr:pic>
      <xdr:nvPicPr>
        <xdr:cNvPr id="6" name="Picture 12" descr="sum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33232725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80</xdr:row>
      <xdr:rowOff>0</xdr:rowOff>
    </xdr:from>
    <xdr:to>
      <xdr:col>10</xdr:col>
      <xdr:colOff>171450</xdr:colOff>
      <xdr:row>80</xdr:row>
      <xdr:rowOff>171450</xdr:rowOff>
    </xdr:to>
    <xdr:pic>
      <xdr:nvPicPr>
        <xdr:cNvPr id="7" name="Picture 15" descr="Circled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06275" y="15649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171450</xdr:colOff>
      <xdr:row>72</xdr:row>
      <xdr:rowOff>171450</xdr:rowOff>
    </xdr:to>
    <xdr:pic>
      <xdr:nvPicPr>
        <xdr:cNvPr id="8" name="Picture 16" descr="Circled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63200" y="14125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171450</xdr:colOff>
      <xdr:row>72</xdr:row>
      <xdr:rowOff>171450</xdr:rowOff>
    </xdr:to>
    <xdr:pic>
      <xdr:nvPicPr>
        <xdr:cNvPr id="9" name="Picture 17" descr="Circled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06275" y="14125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257175</xdr:colOff>
      <xdr:row>173</xdr:row>
      <xdr:rowOff>171450</xdr:rowOff>
    </xdr:to>
    <xdr:pic>
      <xdr:nvPicPr>
        <xdr:cNvPr id="10" name="Picture 18" descr="sum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63200" y="33423225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171450</xdr:colOff>
      <xdr:row>78</xdr:row>
      <xdr:rowOff>171450</xdr:rowOff>
    </xdr:to>
    <xdr:pic>
      <xdr:nvPicPr>
        <xdr:cNvPr id="11" name="Picture 19" descr="Circled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830425" y="15268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85725</xdr:colOff>
      <xdr:row>78</xdr:row>
      <xdr:rowOff>180975</xdr:rowOff>
    </xdr:from>
    <xdr:to>
      <xdr:col>14</xdr:col>
      <xdr:colOff>85725</xdr:colOff>
      <xdr:row>83</xdr:row>
      <xdr:rowOff>180975</xdr:rowOff>
    </xdr:to>
    <xdr:sp>
      <xdr:nvSpPr>
        <xdr:cNvPr id="12" name="Line 20"/>
        <xdr:cNvSpPr>
          <a:spLocks/>
        </xdr:cNvSpPr>
      </xdr:nvSpPr>
      <xdr:spPr>
        <a:xfrm>
          <a:off x="14916150" y="15449550"/>
          <a:ext cx="0" cy="952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171450</xdr:colOff>
      <xdr:row>80</xdr:row>
      <xdr:rowOff>171450</xdr:rowOff>
    </xdr:to>
    <xdr:pic>
      <xdr:nvPicPr>
        <xdr:cNvPr id="13" name="Picture 21" descr="Circled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25825" y="15649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171450</xdr:colOff>
      <xdr:row>81</xdr:row>
      <xdr:rowOff>171450</xdr:rowOff>
    </xdr:to>
    <xdr:pic>
      <xdr:nvPicPr>
        <xdr:cNvPr id="14" name="Picture 22" descr="Circled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25825" y="158400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171450</xdr:colOff>
      <xdr:row>83</xdr:row>
      <xdr:rowOff>171450</xdr:rowOff>
    </xdr:to>
    <xdr:pic>
      <xdr:nvPicPr>
        <xdr:cNvPr id="15" name="Picture 23" descr="Circled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25825" y="162210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172</xdr:row>
      <xdr:rowOff>0</xdr:rowOff>
    </xdr:from>
    <xdr:to>
      <xdr:col>14</xdr:col>
      <xdr:colOff>257175</xdr:colOff>
      <xdr:row>172</xdr:row>
      <xdr:rowOff>171450</xdr:rowOff>
    </xdr:to>
    <xdr:pic>
      <xdr:nvPicPr>
        <xdr:cNvPr id="16" name="Picture 24" descr="sum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830425" y="33232725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257175</xdr:colOff>
      <xdr:row>173</xdr:row>
      <xdr:rowOff>171450</xdr:rowOff>
    </xdr:to>
    <xdr:pic>
      <xdr:nvPicPr>
        <xdr:cNvPr id="17" name="Picture 25" descr="sum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830425" y="33423225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171450</xdr:colOff>
      <xdr:row>72</xdr:row>
      <xdr:rowOff>171450</xdr:rowOff>
    </xdr:to>
    <xdr:pic>
      <xdr:nvPicPr>
        <xdr:cNvPr id="18" name="Picture 26" descr="Circled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830425" y="14125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171450</xdr:colOff>
      <xdr:row>72</xdr:row>
      <xdr:rowOff>171450</xdr:rowOff>
    </xdr:to>
    <xdr:pic>
      <xdr:nvPicPr>
        <xdr:cNvPr id="19" name="Picture 27" descr="Circled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25825" y="14125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171450</xdr:colOff>
      <xdr:row>73</xdr:row>
      <xdr:rowOff>171450</xdr:rowOff>
    </xdr:to>
    <xdr:pic>
      <xdr:nvPicPr>
        <xdr:cNvPr id="20" name="Picture 28" descr="Circled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25825" y="143160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25</xdr:col>
      <xdr:colOff>257175</xdr:colOff>
      <xdr:row>172</xdr:row>
      <xdr:rowOff>171450</xdr:rowOff>
    </xdr:to>
    <xdr:pic>
      <xdr:nvPicPr>
        <xdr:cNvPr id="21" name="Picture 29" descr="sum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49875" y="33232725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78</xdr:row>
      <xdr:rowOff>0</xdr:rowOff>
    </xdr:from>
    <xdr:to>
      <xdr:col>25</xdr:col>
      <xdr:colOff>171450</xdr:colOff>
      <xdr:row>78</xdr:row>
      <xdr:rowOff>171450</xdr:rowOff>
    </xdr:to>
    <xdr:pic>
      <xdr:nvPicPr>
        <xdr:cNvPr id="22" name="Picture 30" descr="Circled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49875" y="15268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76200</xdr:colOff>
      <xdr:row>78</xdr:row>
      <xdr:rowOff>180975</xdr:rowOff>
    </xdr:from>
    <xdr:to>
      <xdr:col>19</xdr:col>
      <xdr:colOff>76200</xdr:colOff>
      <xdr:row>84</xdr:row>
      <xdr:rowOff>0</xdr:rowOff>
    </xdr:to>
    <xdr:sp>
      <xdr:nvSpPr>
        <xdr:cNvPr id="23" name="Line 31"/>
        <xdr:cNvSpPr>
          <a:spLocks/>
        </xdr:cNvSpPr>
      </xdr:nvSpPr>
      <xdr:spPr>
        <a:xfrm>
          <a:off x="18049875" y="15449550"/>
          <a:ext cx="0" cy="962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21</xdr:col>
      <xdr:colOff>0</xdr:colOff>
      <xdr:row>80</xdr:row>
      <xdr:rowOff>0</xdr:rowOff>
    </xdr:from>
    <xdr:to>
      <xdr:col>25</xdr:col>
      <xdr:colOff>171450</xdr:colOff>
      <xdr:row>80</xdr:row>
      <xdr:rowOff>171450</xdr:rowOff>
    </xdr:to>
    <xdr:pic>
      <xdr:nvPicPr>
        <xdr:cNvPr id="24" name="Picture 32" descr="Circled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49875" y="15649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25</xdr:col>
      <xdr:colOff>171450</xdr:colOff>
      <xdr:row>81</xdr:row>
      <xdr:rowOff>171450</xdr:rowOff>
    </xdr:to>
    <xdr:pic>
      <xdr:nvPicPr>
        <xdr:cNvPr id="25" name="Picture 33" descr="Circled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49875" y="158400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25</xdr:col>
      <xdr:colOff>171450</xdr:colOff>
      <xdr:row>82</xdr:row>
      <xdr:rowOff>171450</xdr:rowOff>
    </xdr:to>
    <xdr:pic>
      <xdr:nvPicPr>
        <xdr:cNvPr id="26" name="Picture 34" descr="Circled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49875" y="16030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25</xdr:col>
      <xdr:colOff>257175</xdr:colOff>
      <xdr:row>173</xdr:row>
      <xdr:rowOff>171450</xdr:rowOff>
    </xdr:to>
    <xdr:pic>
      <xdr:nvPicPr>
        <xdr:cNvPr id="27" name="Picture 35" descr="sum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49875" y="33423225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72</xdr:row>
      <xdr:rowOff>0</xdr:rowOff>
    </xdr:from>
    <xdr:to>
      <xdr:col>25</xdr:col>
      <xdr:colOff>171450</xdr:colOff>
      <xdr:row>72</xdr:row>
      <xdr:rowOff>171450</xdr:rowOff>
    </xdr:to>
    <xdr:pic>
      <xdr:nvPicPr>
        <xdr:cNvPr id="28" name="Picture 36" descr="Circled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49875" y="14125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25</xdr:col>
      <xdr:colOff>171450</xdr:colOff>
      <xdr:row>72</xdr:row>
      <xdr:rowOff>171450</xdr:rowOff>
    </xdr:to>
    <xdr:pic>
      <xdr:nvPicPr>
        <xdr:cNvPr id="29" name="Picture 37" descr="Circled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49875" y="14125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25</xdr:col>
      <xdr:colOff>171450</xdr:colOff>
      <xdr:row>73</xdr:row>
      <xdr:rowOff>171450</xdr:rowOff>
    </xdr:to>
    <xdr:pic>
      <xdr:nvPicPr>
        <xdr:cNvPr id="30" name="Picture 38" descr="Circled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49875" y="143160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25</xdr:col>
      <xdr:colOff>171450</xdr:colOff>
      <xdr:row>74</xdr:row>
      <xdr:rowOff>171450</xdr:rowOff>
    </xdr:to>
    <xdr:pic>
      <xdr:nvPicPr>
        <xdr:cNvPr id="31" name="Picture 39" descr="Circled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49875" y="14506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bdo.com\DAL\data\groups\Shared%20Clients\Audit\Active\Inprocess\Grand%20Central%20Silver%20Mines\PBC%20Downloaded-2007-2010%20audits\Accrued_Professional_Fees_Skip_Headen.xlsx#Sheet1!S16" TargetMode="External" /><Relationship Id="rId2" Type="http://schemas.openxmlformats.org/officeDocument/2006/relationships/hyperlink" Target="\\bdo.com\DAL\data\groups\Shared%20Clients\Audit\Active\Inprocess\Grand%20Central%20Silver%20Mines\PBC%20Downloaded-2007-2010%20audits\Accrued_Professional_Fees_Skip_Headen.xlsx#Sheet1!S22" TargetMode="External" /><Relationship Id="rId3" Type="http://schemas.openxmlformats.org/officeDocument/2006/relationships/hyperlink" Target="\\bdo.com\DAL\data\groups\Shared%20Clients\Audit\Active\Inprocess\Grand%20Central%20Silver%20Mines\PBC%20Downloaded-2007-2010%20audits\Accrued_Professional_Fees_Skip_Headen.xlsx#Sheet1!S24" TargetMode="External" /><Relationship Id="rId4" Type="http://schemas.openxmlformats.org/officeDocument/2006/relationships/hyperlink" Target="\\bdo.com\DAL\data\groups\Shared%20Clients\Audit\Active\Inprocess\Grand%20Central%20Silver%20Mines\GCSM%209-30-07%20Audit--live\HH-5%20Accrued_Professional_Fees_Skip_Headen.xlsx#'HH-5'!S26" TargetMode="External" /><Relationship Id="rId5" Type="http://schemas.openxmlformats.org/officeDocument/2006/relationships/hyperlink" Target="\\bdo.com\DAL\data\groups\Shared%20Clients\Audit\Active\Inprocess\Grand%20Central%20Silver%20Mines\PBC%20Downloaded-2007-2010%20audits\Accrued_Professional_Fees_Skip_Headen.xlsx#Sheet1!S16" TargetMode="External" /><Relationship Id="rId6" Type="http://schemas.openxmlformats.org/officeDocument/2006/relationships/hyperlink" Target="\\bdo.com\DAL\data\groups\Shared%20Clients\Audit\Active\Inprocess\Grand%20Central%20Silver%20Mines\PBC%20Downloaded-2007-2010%20audits\Accrued_Professional_Fees_Skip_Headen.xlsx#Sheet1!S22" TargetMode="External" /><Relationship Id="rId7" Type="http://schemas.openxmlformats.org/officeDocument/2006/relationships/comments" Target="../comments3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\\bdo.com\DAL\data\groups\Shared%20Clients\Audit\Active\Inprocess\Grand%20Central%20Silver%20Mines\GCSM%209-30-07%20Audit--live\PP-1%20Notes%20Payable%20Rollforward.xls#'PP-1'!C8" TargetMode="External" /><Relationship Id="rId2" Type="http://schemas.openxmlformats.org/officeDocument/2006/relationships/hyperlink" Target="\\bdo.com\DAL\data\groups\Shared%20Clients\Audit\Active\Inprocess\Grand%20Central%20Silver%20Mines\GCSM%209-30-07%20Audit--live\PP-1%20Notes%20Payable%20Rollforward.xls#'PP-1'!C9" TargetMode="External" /><Relationship Id="rId3" Type="http://schemas.openxmlformats.org/officeDocument/2006/relationships/hyperlink" Target="\\bdo.com\DAL\data\groups\Shared%20Clients\Audit\Active\Inprocess\Grand%20Central%20Silver%20Mines\GCSM%209-30-07%20Audit--live\PP-1%20Notes%20Payable%20Rollforward.xls#'PP-1'!C10" TargetMode="External" /><Relationship Id="rId4" Type="http://schemas.openxmlformats.org/officeDocument/2006/relationships/hyperlink" Target="\\bdo.com\DAL\data\groups\Shared%20Clients\Audit\Active\Inprocess\Grand%20Central%20Silver%20Mines\GCSM%209-30-07%20Audit--live\PP-1%20Notes%20Payable%20Rollforward.xls#'PP-1'!C11" TargetMode="External" /><Relationship Id="rId5" Type="http://schemas.openxmlformats.org/officeDocument/2006/relationships/hyperlink" Target="\\bdo.com\DAL\data\groups\Shared%20Clients\Audit\Active\Inprocess\Grand%20Central%20Silver%20Mines\GCSM%209-30-07%20Audit--live\PP-1%20Notes%20Payable%20Rollforward.xls#'PP-1'!C12" TargetMode="External" /><Relationship Id="rId6" Type="http://schemas.openxmlformats.org/officeDocument/2006/relationships/hyperlink" Target="\\bdo.com\DAL\data\groups\Shared%20Clients\Audit\Active\Inprocess\Grand%20Central%20Silver%20Mines\GCSM%209-30-07%20Audit--live\PP-1%20Notes%20Payable%20Rollforward.xls#'PP-1'!C13" TargetMode="External" /><Relationship Id="rId7" Type="http://schemas.openxmlformats.org/officeDocument/2006/relationships/hyperlink" Target="\\bdo.com\DAL\data\groups\Shared%20Clients\Audit\Active\Inprocess\Grand%20Central%20Silver%20Mines\GCSM%209-30-07%20Audit--live\WW-1%20Shareholder%20Equity%20FY2006%2002-19-07.xls#'Equity%20Stmt'!H311" TargetMode="External" /><Relationship Id="rId8" Type="http://schemas.openxmlformats.org/officeDocument/2006/relationships/hyperlink" Target="\\bdo.com\DAL\data\groups\Shared%20Clients\Audit\Active\Inprocess\Grand%20Central%20Silver%20Mines\GCSM%209-30-07%20Audit--live\20-1%20Legal%20Exp%20GL%20Details%202004.pdf" TargetMode="External" /><Relationship Id="rId9" Type="http://schemas.openxmlformats.org/officeDocument/2006/relationships/hyperlink" Target="\\bdo.com\DAL\data\groups\Shared%20Clients\Audit\Active\Inprocess\Grand%20Central%20Silver%20Mines\GCSM%209-30-07%20Audit--live\HH-4%209-30-04%20AP%20Aging.pdf" TargetMode="External" /><Relationship Id="rId10" Type="http://schemas.openxmlformats.org/officeDocument/2006/relationships/hyperlink" Target="\\bdo.com\DAL\data\groups\Shared%20Clients\Audit\Active\Inprocess\Grand%20Central%20Silver%20Mines\GCSM%209-30-07%20Audit--live\WW-1%20Shareholder%20Equity%20FY2006%2002-19-07.xls#'Equity%20Stmt'!H311" TargetMode="External" /><Relationship Id="rId11" Type="http://schemas.openxmlformats.org/officeDocument/2006/relationships/hyperlink" Target="\\bdo.com\DAL\data\groups\Shared%20Clients\Audit\Active\Inprocess\Grand%20Central%20Silver%20Mines\GCSM%209-30-07%20Audit--live\WW-1%20Shareholder%20Equity%20FY2006%2002-19-07.xls#'Equity%20Stmt'!H311" TargetMode="External" /><Relationship Id="rId12" Type="http://schemas.openxmlformats.org/officeDocument/2006/relationships/hyperlink" Target="\\bdo.com\DAL\data\groups\Shared%20Clients\Audit\Active\Inprocess\Grand%20Central%20Silver%20Mines\GCSM%209-30-07%20Audit--live\SOCF%20Statement%20of%20Cash%20Flows%20Worksheet.xls#'2007'!F7" TargetMode="External" /><Relationship Id="rId13" Type="http://schemas.openxmlformats.org/officeDocument/2006/relationships/hyperlink" Target="\\bdo.com\DAL\data\groups\Shared%20Clients\Audit\Active\Inprocess\Grand%20Central%20Silver%20Mines\GCSM%209-30-07%20Audit--live\M-2%20Automobiles%20and%20Equipment.xls#'M-2'!P10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2">
      <pane xSplit="1" ySplit="3" topLeftCell="B1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D43" sqref="D43"/>
    </sheetView>
  </sheetViews>
  <sheetFormatPr defaultColWidth="9.140625" defaultRowHeight="12.75"/>
  <cols>
    <col min="1" max="1" width="47.57421875" style="20" bestFit="1" customWidth="1"/>
    <col min="2" max="2" width="14.421875" style="20" bestFit="1" customWidth="1"/>
    <col min="3" max="3" width="9.57421875" style="20" customWidth="1"/>
    <col min="4" max="4" width="14.421875" style="20" bestFit="1" customWidth="1"/>
    <col min="5" max="5" width="10.421875" style="20" customWidth="1"/>
    <col min="6" max="6" width="14.421875" style="20" bestFit="1" customWidth="1"/>
    <col min="7" max="16384" width="9.140625" style="20" customWidth="1"/>
  </cols>
  <sheetData>
    <row r="1" ht="12.75">
      <c r="A1" s="23" t="s">
        <v>110</v>
      </c>
    </row>
    <row r="2" ht="18.75">
      <c r="A2" s="322" t="s">
        <v>229</v>
      </c>
    </row>
    <row r="4" spans="2:6" ht="12.75">
      <c r="B4" s="281">
        <v>39721</v>
      </c>
      <c r="C4" s="282"/>
      <c r="D4" s="283">
        <v>40086</v>
      </c>
      <c r="E4" s="282"/>
      <c r="F4" s="283">
        <v>40451</v>
      </c>
    </row>
    <row r="5" spans="2:6" ht="12.75">
      <c r="B5" s="24"/>
      <c r="D5" s="24"/>
      <c r="F5" s="24"/>
    </row>
    <row r="6" ht="12.75">
      <c r="A6" s="286" t="s">
        <v>112</v>
      </c>
    </row>
    <row r="8" spans="1:6" ht="12.75">
      <c r="A8" s="20" t="s">
        <v>111</v>
      </c>
      <c r="B8" s="21">
        <f>TB!F6+TB!F9</f>
        <v>1155.43</v>
      </c>
      <c r="C8" s="21"/>
      <c r="D8" s="21">
        <f>TB!H6+TB!H9</f>
        <v>150115.78999999998</v>
      </c>
      <c r="E8" s="21"/>
      <c r="F8" s="21">
        <f>TB!P6+TB!P9</f>
        <v>71225.45999999999</v>
      </c>
    </row>
    <row r="9" spans="1:6" ht="12.75">
      <c r="A9" s="20" t="s">
        <v>107</v>
      </c>
      <c r="B9" s="22">
        <f>TB!F13</f>
        <v>36129.14</v>
      </c>
      <c r="C9" s="21"/>
      <c r="D9" s="22">
        <f>TB!H13</f>
        <v>0</v>
      </c>
      <c r="E9" s="21"/>
      <c r="F9" s="22">
        <f>TB!M13</f>
        <v>0</v>
      </c>
    </row>
    <row r="10" spans="2:6" ht="12.75">
      <c r="B10" s="21"/>
      <c r="C10" s="21"/>
      <c r="D10" s="21"/>
      <c r="E10" s="21"/>
      <c r="F10" s="21"/>
    </row>
    <row r="11" spans="1:6" s="23" customFormat="1" ht="13.5" thickBot="1">
      <c r="A11" s="279" t="s">
        <v>193</v>
      </c>
      <c r="B11" s="280">
        <f>+SUM(B8:B9)</f>
        <v>37284.57</v>
      </c>
      <c r="C11" s="280"/>
      <c r="D11" s="280">
        <f>+SUM(D8:D9)</f>
        <v>150115.78999999998</v>
      </c>
      <c r="E11" s="280"/>
      <c r="F11" s="280">
        <f>+SUM(F8:F9)</f>
        <v>71225.45999999999</v>
      </c>
    </row>
    <row r="12" spans="2:6" ht="13.5" thickTop="1">
      <c r="B12" s="21"/>
      <c r="C12" s="21"/>
      <c r="D12" s="21"/>
      <c r="E12" s="21"/>
      <c r="F12" s="21"/>
    </row>
    <row r="13" spans="1:6" ht="12.75">
      <c r="A13" s="20" t="s">
        <v>113</v>
      </c>
      <c r="B13" s="21">
        <f>TB!F20</f>
        <v>228196.91</v>
      </c>
      <c r="C13" s="21"/>
      <c r="D13" s="21">
        <f>TB!H20</f>
        <v>196387</v>
      </c>
      <c r="E13" s="21"/>
      <c r="F13" s="21">
        <f>TB!P20</f>
        <v>196387</v>
      </c>
    </row>
    <row r="14" spans="2:6" ht="12.75">
      <c r="B14" s="21"/>
      <c r="C14" s="21"/>
      <c r="D14" s="21"/>
      <c r="E14" s="21"/>
      <c r="F14" s="21"/>
    </row>
    <row r="15" spans="1:6" ht="12.75">
      <c r="A15" s="20" t="s">
        <v>194</v>
      </c>
      <c r="B15" s="21">
        <f>TB!F25</f>
        <v>42442.869999999995</v>
      </c>
      <c r="C15" s="21"/>
      <c r="D15" s="21">
        <f>TB!H25</f>
        <v>5371</v>
      </c>
      <c r="E15" s="21"/>
      <c r="F15" s="21">
        <f>TB!P25</f>
        <v>5371</v>
      </c>
    </row>
    <row r="16" spans="2:6" ht="12.75">
      <c r="B16" s="21"/>
      <c r="C16" s="21"/>
      <c r="D16" s="21"/>
      <c r="E16" s="21"/>
      <c r="F16" s="21"/>
    </row>
    <row r="17" spans="1:6" ht="13.5" thickBot="1">
      <c r="A17" s="295" t="s">
        <v>114</v>
      </c>
      <c r="B17" s="296">
        <f>+B11+B13+B15</f>
        <v>307924.35</v>
      </c>
      <c r="C17" s="296"/>
      <c r="D17" s="296">
        <f>+D11+D13+D15</f>
        <v>351873.79</v>
      </c>
      <c r="E17" s="296"/>
      <c r="F17" s="296">
        <f>+F11+F13+F15</f>
        <v>272983.45999999996</v>
      </c>
    </row>
    <row r="18" spans="2:6" ht="13.5" thickTop="1">
      <c r="B18" s="21"/>
      <c r="C18" s="21"/>
      <c r="D18" s="21"/>
      <c r="E18" s="21"/>
      <c r="F18" s="21"/>
    </row>
    <row r="19" spans="2:6" ht="12.75">
      <c r="B19" s="21"/>
      <c r="C19" s="21"/>
      <c r="D19" s="21"/>
      <c r="E19" s="21"/>
      <c r="F19" s="21"/>
    </row>
    <row r="20" spans="1:6" ht="12.75">
      <c r="A20" s="286" t="s">
        <v>115</v>
      </c>
      <c r="B20" s="21"/>
      <c r="C20" s="21"/>
      <c r="D20" s="21"/>
      <c r="E20" s="21"/>
      <c r="F20" s="21"/>
    </row>
    <row r="21" spans="2:6" ht="12.75">
      <c r="B21" s="21"/>
      <c r="C21" s="21"/>
      <c r="D21" s="21"/>
      <c r="E21" s="21"/>
      <c r="F21" s="21"/>
    </row>
    <row r="22" spans="1:6" ht="12.75">
      <c r="A22" s="20" t="s">
        <v>116</v>
      </c>
      <c r="B22" s="21">
        <f>-TB!F31</f>
        <v>183462</v>
      </c>
      <c r="C22" s="21"/>
      <c r="D22" s="21">
        <f>-TB!K31</f>
        <v>279441.53</v>
      </c>
      <c r="E22" s="21"/>
      <c r="F22" s="21">
        <f>-TB!P31</f>
        <v>291849.41000000003</v>
      </c>
    </row>
    <row r="23" spans="1:6" ht="12.75">
      <c r="A23" s="20" t="s">
        <v>195</v>
      </c>
      <c r="B23" s="21">
        <v>0</v>
      </c>
      <c r="C23" s="21"/>
      <c r="D23" s="21">
        <v>0</v>
      </c>
      <c r="E23" s="21"/>
      <c r="F23" s="21">
        <v>0</v>
      </c>
    </row>
    <row r="24" spans="1:6" ht="12.75">
      <c r="A24" s="20" t="s">
        <v>117</v>
      </c>
      <c r="B24" s="25">
        <f>-TB!F36</f>
        <v>373173</v>
      </c>
      <c r="C24" s="21"/>
      <c r="D24" s="25">
        <f>-TB!K36</f>
        <v>225427.79</v>
      </c>
      <c r="E24" s="21"/>
      <c r="F24" s="25">
        <f>-TB!P36</f>
        <v>222387</v>
      </c>
    </row>
    <row r="25" spans="1:7" ht="12.75">
      <c r="A25" s="20" t="s">
        <v>119</v>
      </c>
      <c r="B25" s="22">
        <f>-TB!F40</f>
        <v>1935991</v>
      </c>
      <c r="C25" s="297"/>
      <c r="D25" s="22">
        <f>-TB!K40</f>
        <v>1493276.26</v>
      </c>
      <c r="E25" s="297"/>
      <c r="F25" s="22">
        <f>-TB!P40</f>
        <v>1293276.58</v>
      </c>
      <c r="G25" s="297"/>
    </row>
    <row r="26" spans="2:6" ht="12.75">
      <c r="B26" s="21"/>
      <c r="C26" s="21"/>
      <c r="D26" s="21"/>
      <c r="E26" s="21"/>
      <c r="F26" s="21"/>
    </row>
    <row r="27" spans="1:6" ht="13.5" thickBot="1">
      <c r="A27" s="279" t="s">
        <v>118</v>
      </c>
      <c r="B27" s="280">
        <f>SUM(B22:B26)</f>
        <v>2492626</v>
      </c>
      <c r="C27" s="280"/>
      <c r="D27" s="280">
        <f>SUM(D22:D26)</f>
        <v>1998145.58</v>
      </c>
      <c r="E27" s="280"/>
      <c r="F27" s="280">
        <f>SUM(F22:F26)</f>
        <v>1807512.9900000002</v>
      </c>
    </row>
    <row r="28" spans="2:6" ht="13.5" thickTop="1">
      <c r="B28" s="21"/>
      <c r="C28" s="21"/>
      <c r="D28" s="21"/>
      <c r="E28" s="21"/>
      <c r="F28" s="21"/>
    </row>
    <row r="29" spans="1:7" ht="12.75">
      <c r="A29" s="20" t="s">
        <v>120</v>
      </c>
      <c r="B29" s="21">
        <v>0</v>
      </c>
      <c r="C29" s="21"/>
      <c r="D29" s="21">
        <v>0</v>
      </c>
      <c r="E29" s="21"/>
      <c r="F29" s="21">
        <v>0</v>
      </c>
      <c r="G29" s="44"/>
    </row>
    <row r="30" spans="2:6" ht="12.75">
      <c r="B30" s="21"/>
      <c r="C30" s="21"/>
      <c r="D30" s="21"/>
      <c r="E30" s="21"/>
      <c r="F30" s="21"/>
    </row>
    <row r="31" spans="1:6" ht="12.75">
      <c r="A31" s="20" t="s">
        <v>127</v>
      </c>
      <c r="B31" s="21">
        <v>0</v>
      </c>
      <c r="C31" s="21"/>
      <c r="D31" s="21">
        <v>0</v>
      </c>
      <c r="E31" s="21"/>
      <c r="F31" s="21">
        <f>-'TB with adj'!R47</f>
        <v>0</v>
      </c>
    </row>
    <row r="32" spans="2:6" ht="12.75">
      <c r="B32" s="21"/>
      <c r="C32" s="21"/>
      <c r="D32" s="21"/>
      <c r="E32" s="21"/>
      <c r="F32" s="21"/>
    </row>
    <row r="33" spans="1:6" ht="13.5" thickBot="1">
      <c r="A33" s="279" t="s">
        <v>128</v>
      </c>
      <c r="B33" s="280">
        <f>+B29+B27+B31</f>
        <v>2492626</v>
      </c>
      <c r="C33" s="280"/>
      <c r="D33" s="280">
        <f>+D29+D27+D31</f>
        <v>1998145.58</v>
      </c>
      <c r="E33" s="280"/>
      <c r="F33" s="280">
        <f>+F29+F27+F31</f>
        <v>1807512.9900000002</v>
      </c>
    </row>
    <row r="34" spans="2:6" ht="13.5" thickTop="1">
      <c r="B34" s="21"/>
      <c r="C34" s="21"/>
      <c r="D34" s="21"/>
      <c r="E34" s="21"/>
      <c r="F34" s="21"/>
    </row>
    <row r="35" spans="1:6" ht="12.75">
      <c r="A35" s="20" t="s">
        <v>121</v>
      </c>
      <c r="B35" s="21">
        <f>-TB!F66</f>
        <v>136456.08000000007</v>
      </c>
      <c r="C35" s="21"/>
      <c r="D35" s="21">
        <f>-TB!K66</f>
        <v>176552.20999999996</v>
      </c>
      <c r="E35" s="21"/>
      <c r="F35" s="21">
        <f>-TB!P66</f>
        <v>205901</v>
      </c>
    </row>
    <row r="36" spans="1:6" ht="12.75">
      <c r="A36" s="20" t="s">
        <v>122</v>
      </c>
      <c r="B36" s="21">
        <f>-TB!F43</f>
        <v>41446529</v>
      </c>
      <c r="C36" s="21"/>
      <c r="D36" s="21">
        <f>-TB!K43</f>
        <v>42955904</v>
      </c>
      <c r="E36" s="21"/>
      <c r="F36" s="21">
        <f>-TB!P43</f>
        <v>44014223</v>
      </c>
    </row>
    <row r="37" spans="1:6" ht="12.75">
      <c r="A37" s="20" t="s">
        <v>123</v>
      </c>
      <c r="B37" s="22">
        <f>-(TB!F51+TB!F42+TB!F50)</f>
        <v>-43767686.73</v>
      </c>
      <c r="C37" s="21"/>
      <c r="D37" s="22">
        <f>-(TB!K51+TB!K42+TB!K50)</f>
        <v>-44778727.769999996</v>
      </c>
      <c r="E37" s="21"/>
      <c r="F37" s="22">
        <f>-(TB!P51+TB!P42+TB!P50)</f>
        <v>-45754653.54</v>
      </c>
    </row>
    <row r="38" spans="2:6" ht="12.75">
      <c r="B38" s="21"/>
      <c r="C38" s="21"/>
      <c r="D38" s="21"/>
      <c r="E38" s="21"/>
      <c r="F38" s="21"/>
    </row>
    <row r="39" spans="1:6" ht="13.5" thickBot="1">
      <c r="A39" s="279" t="s">
        <v>207</v>
      </c>
      <c r="B39" s="280">
        <f>SUM(B35:B38)</f>
        <v>-2184701.6499999985</v>
      </c>
      <c r="C39" s="280"/>
      <c r="D39" s="280">
        <f>SUM(D35:D38)</f>
        <v>-1646271.559999995</v>
      </c>
      <c r="E39" s="280"/>
      <c r="F39" s="280">
        <f>SUM(F35:F38)</f>
        <v>-1534529.539999999</v>
      </c>
    </row>
    <row r="40" spans="2:6" ht="13.5" thickTop="1">
      <c r="B40" s="21"/>
      <c r="C40" s="21"/>
      <c r="D40" s="21"/>
      <c r="E40" s="21"/>
      <c r="F40" s="21"/>
    </row>
    <row r="41" spans="1:6" ht="13.5" thickBot="1">
      <c r="A41" s="295" t="s">
        <v>208</v>
      </c>
      <c r="B41" s="296">
        <f>+B39+B33</f>
        <v>307924.3500000015</v>
      </c>
      <c r="C41" s="296"/>
      <c r="D41" s="296">
        <f>+D39+D33</f>
        <v>351874.02000000514</v>
      </c>
      <c r="E41" s="296"/>
      <c r="F41" s="296">
        <f>+F39+F33</f>
        <v>272983.4500000011</v>
      </c>
    </row>
    <row r="42" spans="2:6" ht="13.5" thickTop="1">
      <c r="B42" s="21"/>
      <c r="C42" s="21"/>
      <c r="D42" s="21"/>
      <c r="E42" s="21"/>
      <c r="F42" s="21"/>
    </row>
    <row r="43" spans="1:6" s="284" customFormat="1" ht="13.5" thickBot="1">
      <c r="A43" s="287" t="s">
        <v>209</v>
      </c>
      <c r="B43" s="289">
        <f>B41-B17</f>
        <v>1.5133991837501526E-09</v>
      </c>
      <c r="C43" s="289"/>
      <c r="D43" s="289">
        <f>D41-D17</f>
        <v>0.23000000516185537</v>
      </c>
      <c r="E43" s="289"/>
      <c r="F43" s="289">
        <f>F41-F17</f>
        <v>-0.009999998845160007</v>
      </c>
    </row>
    <row r="44" ht="13.5" thickTop="1"/>
    <row r="45" ht="12.75">
      <c r="B45" s="44"/>
    </row>
    <row r="46" ht="12.75">
      <c r="B46" s="44"/>
    </row>
    <row r="47" ht="12.75">
      <c r="B47" s="4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3.28125" style="20" bestFit="1" customWidth="1"/>
    <col min="2" max="2" width="14.7109375" style="20" bestFit="1" customWidth="1"/>
    <col min="3" max="3" width="3.140625" style="20" customWidth="1"/>
    <col min="4" max="4" width="14.421875" style="20" bestFit="1" customWidth="1"/>
    <col min="5" max="5" width="3.140625" style="20" customWidth="1"/>
    <col min="6" max="6" width="14.421875" style="20" bestFit="1" customWidth="1"/>
    <col min="7" max="7" width="3.140625" style="20" customWidth="1"/>
    <col min="8" max="16384" width="9.140625" style="20" customWidth="1"/>
  </cols>
  <sheetData>
    <row r="1" ht="12.75">
      <c r="A1" s="23" t="s">
        <v>110</v>
      </c>
    </row>
    <row r="2" ht="18.75">
      <c r="A2" s="322" t="s">
        <v>230</v>
      </c>
    </row>
    <row r="4" spans="2:7" ht="12.75">
      <c r="B4" s="283">
        <v>39721</v>
      </c>
      <c r="C4" s="282"/>
      <c r="D4" s="283">
        <v>40086</v>
      </c>
      <c r="E4" s="282"/>
      <c r="F4" s="283">
        <v>40451</v>
      </c>
      <c r="G4" s="282"/>
    </row>
    <row r="5" spans="2:6" ht="12.75">
      <c r="B5" s="24"/>
      <c r="D5" s="24"/>
      <c r="F5" s="24"/>
    </row>
    <row r="6" spans="1:7" ht="12.75">
      <c r="A6" s="285" t="s">
        <v>135</v>
      </c>
      <c r="B6" s="25">
        <v>0</v>
      </c>
      <c r="C6" s="25"/>
      <c r="D6" s="25">
        <v>0</v>
      </c>
      <c r="E6" s="25"/>
      <c r="F6" s="25">
        <v>0</v>
      </c>
      <c r="G6" s="25"/>
    </row>
    <row r="7" spans="1:7" ht="12.75">
      <c r="A7" s="34"/>
      <c r="B7" s="25"/>
      <c r="C7" s="25"/>
      <c r="D7" s="25"/>
      <c r="E7" s="25"/>
      <c r="F7" s="25"/>
      <c r="G7" s="25"/>
    </row>
    <row r="8" spans="1:7" ht="12.75">
      <c r="A8" s="34" t="s">
        <v>136</v>
      </c>
      <c r="B8" s="25">
        <f>SUM(TB!F71:F142)-B9-B10-B18</f>
        <v>3088239.69</v>
      </c>
      <c r="C8" s="25"/>
      <c r="D8" s="25">
        <f>TB!K143-D9-D10-D18</f>
        <v>974435.3999999996</v>
      </c>
      <c r="E8" s="25"/>
      <c r="F8" s="25">
        <f>TB!P143-F9-F18</f>
        <v>372751.9700000001</v>
      </c>
      <c r="G8" s="25"/>
    </row>
    <row r="9" spans="1:7" ht="12.75">
      <c r="A9" s="34" t="s">
        <v>149</v>
      </c>
      <c r="B9" s="25">
        <f>TB!F91+TB!F92+TB!F93+TB!F94+TB!F95+TB!F96</f>
        <v>495306.33</v>
      </c>
      <c r="C9" s="25"/>
      <c r="D9" s="25">
        <f>TB!H91+TB!H92+TB!H93+TB!H95</f>
        <v>46956.350000000006</v>
      </c>
      <c r="E9" s="25"/>
      <c r="F9" s="25">
        <f>TB!M91+TB!M92+TB!M93+TB!M94+TB!M95+TB!M96</f>
        <v>782</v>
      </c>
      <c r="G9" s="25"/>
    </row>
    <row r="10" spans="1:7" ht="12.75">
      <c r="A10" s="34" t="s">
        <v>137</v>
      </c>
      <c r="B10" s="22">
        <f>TB!F84</f>
        <v>13200</v>
      </c>
      <c r="C10" s="25"/>
      <c r="D10" s="22">
        <f>TB!H84</f>
        <v>4427.1</v>
      </c>
      <c r="E10" s="25"/>
      <c r="F10" s="22">
        <f>TB!M84</f>
        <v>0</v>
      </c>
      <c r="G10" s="25"/>
    </row>
    <row r="11" spans="1:7" ht="13.5" thickBot="1">
      <c r="A11" s="279" t="s">
        <v>138</v>
      </c>
      <c r="B11" s="280">
        <f>+SUM(B8:B10)</f>
        <v>3596746.02</v>
      </c>
      <c r="C11" s="280"/>
      <c r="D11" s="280">
        <f>+SUM(D8:D10)</f>
        <v>1025818.8499999995</v>
      </c>
      <c r="E11" s="280"/>
      <c r="F11" s="280">
        <f>+SUM(F8:F10)</f>
        <v>373533.9700000001</v>
      </c>
      <c r="G11" s="280"/>
    </row>
    <row r="12" spans="1:7" ht="13.5" thickTop="1">
      <c r="A12" s="34"/>
      <c r="B12" s="25"/>
      <c r="C12" s="25"/>
      <c r="D12" s="25"/>
      <c r="E12" s="25"/>
      <c r="F12" s="25"/>
      <c r="G12" s="25"/>
    </row>
    <row r="13" spans="1:7" ht="13.5" thickBot="1">
      <c r="A13" s="279" t="s">
        <v>139</v>
      </c>
      <c r="B13" s="280">
        <f>+B6-B11</f>
        <v>-3596746.02</v>
      </c>
      <c r="C13" s="280"/>
      <c r="D13" s="280">
        <f>+D6-D11</f>
        <v>-1025818.8499999995</v>
      </c>
      <c r="E13" s="280"/>
      <c r="F13" s="280">
        <f>+F6-F11</f>
        <v>-373533.9700000001</v>
      </c>
      <c r="G13" s="280"/>
    </row>
    <row r="14" spans="1:7" ht="13.5" thickTop="1">
      <c r="A14" s="34"/>
      <c r="B14" s="25"/>
      <c r="C14" s="25"/>
      <c r="D14" s="25"/>
      <c r="E14" s="25"/>
      <c r="F14" s="25"/>
      <c r="G14" s="25"/>
    </row>
    <row r="15" spans="1:7" ht="12.75">
      <c r="A15" s="285" t="s">
        <v>140</v>
      </c>
      <c r="B15" s="25"/>
      <c r="C15" s="25"/>
      <c r="D15" s="25"/>
      <c r="E15" s="25"/>
      <c r="F15" s="25"/>
      <c r="G15" s="25"/>
    </row>
    <row r="16" spans="1:7" ht="12.75">
      <c r="A16" s="34" t="s">
        <v>141</v>
      </c>
      <c r="B16" s="25">
        <f>TB!F140+TB!F141</f>
        <v>-19848.42</v>
      </c>
      <c r="C16" s="25"/>
      <c r="D16" s="25">
        <f>TB!H139+TB!H140</f>
        <v>-179453.22</v>
      </c>
      <c r="E16" s="25"/>
      <c r="F16" s="25">
        <f>TB!M139+TB!M140</f>
        <v>-50501.1</v>
      </c>
      <c r="G16" s="25"/>
    </row>
    <row r="17" spans="1:7" ht="12.75">
      <c r="A17" s="34" t="s">
        <v>142</v>
      </c>
      <c r="B17" s="22">
        <f>TB!F142</f>
        <v>81894.17</v>
      </c>
      <c r="C17" s="25"/>
      <c r="D17" s="22">
        <f>TB!K142</f>
        <v>101837.14</v>
      </c>
      <c r="E17" s="25"/>
      <c r="F17" s="22">
        <f>TB!P142</f>
        <v>90040.67</v>
      </c>
      <c r="G17" s="25"/>
    </row>
    <row r="18" spans="1:7" ht="13.5" thickBot="1">
      <c r="A18" s="279" t="s">
        <v>143</v>
      </c>
      <c r="B18" s="280">
        <f>SUM(B16:B17)</f>
        <v>62045.75</v>
      </c>
      <c r="C18" s="280"/>
      <c r="D18" s="280">
        <f>SUM(D16:D17)</f>
        <v>-77616.08</v>
      </c>
      <c r="E18" s="280"/>
      <c r="F18" s="280">
        <f>SUM(F16:F17)</f>
        <v>39539.57</v>
      </c>
      <c r="G18" s="280"/>
    </row>
    <row r="19" spans="1:7" ht="13.5" thickTop="1">
      <c r="A19" s="34"/>
      <c r="B19" s="25"/>
      <c r="C19" s="25"/>
      <c r="D19" s="25"/>
      <c r="E19" s="25"/>
      <c r="F19" s="25"/>
      <c r="G19" s="25"/>
    </row>
    <row r="20" spans="1:7" ht="13.5" thickBot="1">
      <c r="A20" s="279" t="s">
        <v>144</v>
      </c>
      <c r="B20" s="280">
        <f>+B13-B18</f>
        <v>-3658791.77</v>
      </c>
      <c r="C20" s="280"/>
      <c r="D20" s="280">
        <f>+D13-D18</f>
        <v>-948202.7699999996</v>
      </c>
      <c r="E20" s="280"/>
      <c r="F20" s="280">
        <f>+F13-F18</f>
        <v>-413073.5400000001</v>
      </c>
      <c r="G20" s="280"/>
    </row>
    <row r="21" spans="1:7" ht="13.5" thickTop="1">
      <c r="A21" s="34"/>
      <c r="B21" s="25"/>
      <c r="C21" s="25"/>
      <c r="D21" s="25"/>
      <c r="E21" s="25"/>
      <c r="F21" s="25"/>
      <c r="G21" s="25"/>
    </row>
    <row r="22" spans="1:7" ht="12.75">
      <c r="A22" s="34" t="s">
        <v>145</v>
      </c>
      <c r="B22" s="25">
        <v>0</v>
      </c>
      <c r="C22" s="25"/>
      <c r="D22" s="25">
        <v>0</v>
      </c>
      <c r="E22" s="25"/>
      <c r="F22" s="25">
        <v>0</v>
      </c>
      <c r="G22" s="25"/>
    </row>
    <row r="23" spans="1:7" ht="12.75">
      <c r="A23" s="34"/>
      <c r="B23" s="25"/>
      <c r="C23" s="25"/>
      <c r="D23" s="25"/>
      <c r="E23" s="25"/>
      <c r="F23" s="25"/>
      <c r="G23" s="25"/>
    </row>
    <row r="24" spans="1:7" ht="13.5" thickBot="1">
      <c r="A24" s="279" t="s">
        <v>146</v>
      </c>
      <c r="B24" s="280">
        <f>+B22+B20</f>
        <v>-3658791.77</v>
      </c>
      <c r="C24" s="280"/>
      <c r="D24" s="280">
        <f>+D22+D20</f>
        <v>-948202.7699999996</v>
      </c>
      <c r="E24" s="280"/>
      <c r="F24" s="280">
        <f>+F22+F20</f>
        <v>-413073.5400000001</v>
      </c>
      <c r="G24" s="280"/>
    </row>
    <row r="25" spans="1:7" ht="13.5" thickTop="1">
      <c r="A25" s="34"/>
      <c r="B25" s="25"/>
      <c r="C25" s="25"/>
      <c r="D25" s="25"/>
      <c r="E25" s="25"/>
      <c r="F25" s="25"/>
      <c r="G25" s="25"/>
    </row>
    <row r="26" spans="1:7" ht="12.75">
      <c r="A26" s="34" t="s">
        <v>147</v>
      </c>
      <c r="B26" s="25"/>
      <c r="C26" s="25"/>
      <c r="D26" s="25"/>
      <c r="E26" s="25"/>
      <c r="F26" s="25"/>
      <c r="G26" s="25"/>
    </row>
    <row r="27" spans="1:7" ht="12.75">
      <c r="A27" s="34"/>
      <c r="B27" s="25"/>
      <c r="C27" s="25"/>
      <c r="D27" s="25"/>
      <c r="E27" s="25"/>
      <c r="F27" s="25"/>
      <c r="G27" s="25"/>
    </row>
    <row r="28" spans="1:7" ht="12.75">
      <c r="A28" s="34" t="s">
        <v>148</v>
      </c>
      <c r="B28" s="47"/>
      <c r="C28" s="25"/>
      <c r="D28" s="47"/>
      <c r="E28" s="25"/>
      <c r="F28" s="47"/>
      <c r="G28" s="25"/>
    </row>
    <row r="29" spans="1:7" ht="12.75">
      <c r="A29" s="34"/>
      <c r="B29" s="46"/>
      <c r="C29" s="46"/>
      <c r="D29" s="46"/>
      <c r="E29" s="46"/>
      <c r="F29" s="46"/>
      <c r="G29" s="46"/>
    </row>
    <row r="30" spans="1:7" ht="13.5" thickBot="1">
      <c r="A30" s="287" t="s">
        <v>210</v>
      </c>
      <c r="B30" s="289">
        <f>B24+TB!F143</f>
        <v>0</v>
      </c>
      <c r="C30" s="288"/>
      <c r="D30" s="290">
        <f>D24+TB!K143</f>
        <v>0</v>
      </c>
      <c r="E30" s="288"/>
      <c r="F30" s="288">
        <f>F24+TB!P143</f>
        <v>0</v>
      </c>
      <c r="G30" s="288"/>
    </row>
    <row r="31" spans="1:7" ht="13.5" thickTop="1">
      <c r="A31" s="34"/>
      <c r="B31" s="46"/>
      <c r="C31" s="46"/>
      <c r="D31" s="46"/>
      <c r="E31" s="46"/>
      <c r="F31" s="46"/>
      <c r="G31" s="46"/>
    </row>
    <row r="32" spans="1:7" ht="12.75">
      <c r="A32" s="34"/>
      <c r="B32" s="46"/>
      <c r="C32" s="46"/>
      <c r="D32" s="46"/>
      <c r="E32" s="46"/>
      <c r="F32" s="46"/>
      <c r="G32" s="46"/>
    </row>
    <row r="33" spans="1:7" ht="12.75">
      <c r="A33" s="34"/>
      <c r="B33" s="46"/>
      <c r="C33" s="46"/>
      <c r="D33" s="46"/>
      <c r="E33" s="46"/>
      <c r="F33" s="46"/>
      <c r="G33" s="46"/>
    </row>
    <row r="34" spans="1:7" ht="12.75">
      <c r="A34" s="34"/>
      <c r="B34" s="46"/>
      <c r="C34" s="46"/>
      <c r="D34" s="46"/>
      <c r="E34" s="46"/>
      <c r="F34" s="46"/>
      <c r="G34" s="46"/>
    </row>
    <row r="35" spans="1:7" ht="12.75">
      <c r="A35" s="34"/>
      <c r="B35" s="46"/>
      <c r="C35" s="46"/>
      <c r="D35" s="46"/>
      <c r="E35" s="46"/>
      <c r="F35" s="46"/>
      <c r="G35" s="46"/>
    </row>
    <row r="36" spans="1:7" ht="12.75">
      <c r="A36" s="34"/>
      <c r="B36" s="46"/>
      <c r="C36" s="46"/>
      <c r="D36" s="46"/>
      <c r="E36" s="46"/>
      <c r="F36" s="46"/>
      <c r="G36" s="46"/>
    </row>
    <row r="37" spans="1:7" ht="12.75">
      <c r="A37" s="34"/>
      <c r="B37" s="46"/>
      <c r="C37" s="46"/>
      <c r="D37" s="46"/>
      <c r="E37" s="46"/>
      <c r="F37" s="46"/>
      <c r="G37" s="46"/>
    </row>
    <row r="38" spans="1:7" ht="12.75">
      <c r="A38" s="34"/>
      <c r="B38" s="46"/>
      <c r="C38" s="46"/>
      <c r="D38" s="46"/>
      <c r="E38" s="46"/>
      <c r="F38" s="46"/>
      <c r="G38" s="46"/>
    </row>
    <row r="39" spans="1:7" ht="12.75">
      <c r="A39" s="34"/>
      <c r="B39" s="46"/>
      <c r="C39" s="46"/>
      <c r="D39" s="46"/>
      <c r="E39" s="46"/>
      <c r="F39" s="46"/>
      <c r="G39" s="46"/>
    </row>
    <row r="40" spans="1:7" ht="12.75">
      <c r="A40" s="34"/>
      <c r="B40" s="46"/>
      <c r="C40" s="46"/>
      <c r="D40" s="46"/>
      <c r="E40" s="46"/>
      <c r="F40" s="46"/>
      <c r="G40" s="46"/>
    </row>
    <row r="41" spans="1:7" ht="12.75">
      <c r="A41" s="34"/>
      <c r="B41" s="46"/>
      <c r="C41" s="46"/>
      <c r="D41" s="46"/>
      <c r="E41" s="46"/>
      <c r="F41" s="46"/>
      <c r="G41" s="46"/>
    </row>
    <row r="42" spans="1:7" ht="12.75">
      <c r="A42" s="34"/>
      <c r="B42" s="34"/>
      <c r="C42" s="34"/>
      <c r="D42" s="34"/>
      <c r="E42" s="34"/>
      <c r="F42" s="34"/>
      <c r="G42" s="34"/>
    </row>
    <row r="43" spans="1:7" ht="12.75">
      <c r="A43" s="34"/>
      <c r="B43" s="34"/>
      <c r="C43" s="34"/>
      <c r="D43" s="34"/>
      <c r="E43" s="34"/>
      <c r="F43" s="34"/>
      <c r="G43" s="34"/>
    </row>
    <row r="44" spans="1:7" ht="12.75">
      <c r="A44" s="34"/>
      <c r="B44" s="34"/>
      <c r="C44" s="34"/>
      <c r="D44" s="34"/>
      <c r="E44" s="34"/>
      <c r="F44" s="34"/>
      <c r="G44" s="3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43"/>
  <sheetViews>
    <sheetView zoomScalePageLayoutView="0" workbookViewId="0" topLeftCell="A1">
      <pane xSplit="1" ySplit="2" topLeftCell="H6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65" sqref="H65"/>
    </sheetView>
  </sheetViews>
  <sheetFormatPr defaultColWidth="35.421875" defaultRowHeight="12.75"/>
  <cols>
    <col min="1" max="1" width="51.7109375" style="20" customWidth="1"/>
    <col min="2" max="2" width="8.00390625" style="20" customWidth="1"/>
    <col min="3" max="3" width="17.57421875" style="270" customWidth="1"/>
    <col min="4" max="4" width="7.140625" style="270" customWidth="1"/>
    <col min="5" max="5" width="15.8515625" style="255" customWidth="1"/>
    <col min="6" max="6" width="17.57421875" style="270" customWidth="1"/>
    <col min="7" max="7" width="8.28125" style="20" customWidth="1"/>
    <col min="8" max="9" width="15.57421875" style="260" customWidth="1"/>
    <col min="10" max="10" width="13.421875" style="260" customWidth="1"/>
    <col min="11" max="11" width="14.28125" style="260" bestFit="1" customWidth="1"/>
    <col min="12" max="12" width="13.00390625" style="20" customWidth="1"/>
    <col min="13" max="13" width="13.7109375" style="265" bestFit="1" customWidth="1"/>
    <col min="14" max="14" width="13.28125" style="265" customWidth="1"/>
    <col min="15" max="15" width="13.00390625" style="265" customWidth="1"/>
    <col min="16" max="16" width="14.00390625" style="265" bestFit="1" customWidth="1"/>
    <col min="17" max="17" width="6.00390625" style="20" customWidth="1"/>
    <col min="18" max="16384" width="35.421875" style="20" customWidth="1"/>
  </cols>
  <sheetData>
    <row r="1" ht="12.75"/>
    <row r="2" spans="3:16" ht="12.75">
      <c r="C2" s="266">
        <v>39721</v>
      </c>
      <c r="D2" s="266"/>
      <c r="E2" s="251" t="s">
        <v>96</v>
      </c>
      <c r="F2" s="266" t="s">
        <v>173</v>
      </c>
      <c r="H2" s="256">
        <v>40086</v>
      </c>
      <c r="I2" s="256"/>
      <c r="J2" s="256" t="s">
        <v>96</v>
      </c>
      <c r="K2" s="256" t="s">
        <v>172</v>
      </c>
      <c r="M2" s="261" t="s">
        <v>189</v>
      </c>
      <c r="N2" s="261"/>
      <c r="O2" s="261" t="s">
        <v>96</v>
      </c>
      <c r="P2" s="261" t="s">
        <v>190</v>
      </c>
    </row>
    <row r="3" spans="1:16" ht="12.75">
      <c r="A3" s="103" t="s">
        <v>0</v>
      </c>
      <c r="B3" s="302" t="s">
        <v>216</v>
      </c>
      <c r="C3" s="267">
        <v>98.67</v>
      </c>
      <c r="D3" s="267"/>
      <c r="E3" s="252"/>
      <c r="F3" s="267">
        <f>C3+E3</f>
        <v>98.67</v>
      </c>
      <c r="G3" s="103"/>
      <c r="H3" s="257">
        <v>124984.43</v>
      </c>
      <c r="I3" s="257"/>
      <c r="J3" s="257"/>
      <c r="K3" s="257">
        <f>H3+J3</f>
        <v>124984.43</v>
      </c>
      <c r="M3" s="262">
        <v>45593</v>
      </c>
      <c r="N3" s="262"/>
      <c r="O3" s="262"/>
      <c r="P3" s="262">
        <f>M3+O3</f>
        <v>45593</v>
      </c>
    </row>
    <row r="4" spans="1:16" ht="12.75">
      <c r="A4" s="103" t="s">
        <v>84</v>
      </c>
      <c r="B4" s="301" t="s">
        <v>103</v>
      </c>
      <c r="C4" s="267">
        <v>12</v>
      </c>
      <c r="D4" s="267"/>
      <c r="E4" s="252"/>
      <c r="F4" s="267">
        <f>C4+E4</f>
        <v>12</v>
      </c>
      <c r="G4" s="103"/>
      <c r="H4" s="257">
        <v>55</v>
      </c>
      <c r="I4" s="257"/>
      <c r="J4" s="257"/>
      <c r="K4" s="257">
        <f>H4+J4</f>
        <v>55</v>
      </c>
      <c r="M4" s="262">
        <v>0</v>
      </c>
      <c r="N4" s="262"/>
      <c r="O4" s="262"/>
      <c r="P4" s="262">
        <f>M4+O4</f>
        <v>0</v>
      </c>
    </row>
    <row r="5" spans="1:16" ht="12.75">
      <c r="A5" s="103" t="s">
        <v>83</v>
      </c>
      <c r="B5" s="301" t="s">
        <v>103</v>
      </c>
      <c r="C5" s="268">
        <v>25</v>
      </c>
      <c r="D5" s="268"/>
      <c r="E5" s="253"/>
      <c r="F5" s="268">
        <f>C5+E5</f>
        <v>25</v>
      </c>
      <c r="G5" s="103"/>
      <c r="H5" s="258">
        <v>0</v>
      </c>
      <c r="I5" s="258"/>
      <c r="J5" s="258"/>
      <c r="K5" s="258">
        <f>H5+J5</f>
        <v>0</v>
      </c>
      <c r="M5" s="263">
        <v>55</v>
      </c>
      <c r="N5" s="263"/>
      <c r="O5" s="263"/>
      <c r="P5" s="263">
        <f>M5+O5</f>
        <v>55</v>
      </c>
    </row>
    <row r="6" spans="1:16" s="23" customFormat="1" ht="12.75">
      <c r="A6" s="103"/>
      <c r="B6" s="103"/>
      <c r="C6" s="271">
        <f>SUM(C3:C5)</f>
        <v>135.67000000000002</v>
      </c>
      <c r="D6" s="271"/>
      <c r="E6" s="272">
        <f>SUM(E3:E5)</f>
        <v>0</v>
      </c>
      <c r="F6" s="271">
        <f>SUM(F3:F5)</f>
        <v>135.67000000000002</v>
      </c>
      <c r="G6" s="103"/>
      <c r="H6" s="273">
        <f>SUM(H3:H5)</f>
        <v>125039.43</v>
      </c>
      <c r="I6" s="273"/>
      <c r="J6" s="273">
        <f>SUM(J3:J5)</f>
        <v>0</v>
      </c>
      <c r="K6" s="273">
        <f>SUM(K3:K5)</f>
        <v>125039.43</v>
      </c>
      <c r="M6" s="274">
        <f>SUM(M3:M5)</f>
        <v>45648</v>
      </c>
      <c r="N6" s="274"/>
      <c r="O6" s="274">
        <f>SUM(O3:O5)</f>
        <v>0</v>
      </c>
      <c r="P6" s="274">
        <f>SUM(P3:P5)</f>
        <v>45648</v>
      </c>
    </row>
    <row r="7" spans="1:16" ht="12.75">
      <c r="A7" s="103"/>
      <c r="B7" s="103"/>
      <c r="C7" s="267"/>
      <c r="D7" s="267"/>
      <c r="E7" s="252"/>
      <c r="F7" s="267"/>
      <c r="G7" s="103"/>
      <c r="H7" s="257"/>
      <c r="I7" s="257"/>
      <c r="J7" s="257"/>
      <c r="K7" s="257"/>
      <c r="M7" s="262"/>
      <c r="N7" s="262"/>
      <c r="O7" s="262"/>
      <c r="P7" s="262"/>
    </row>
    <row r="8" spans="1:16" ht="12.75">
      <c r="A8" s="103" t="s">
        <v>82</v>
      </c>
      <c r="B8" s="301" t="s">
        <v>103</v>
      </c>
      <c r="C8" s="268">
        <v>1019.76</v>
      </c>
      <c r="D8" s="268"/>
      <c r="E8" s="253"/>
      <c r="F8" s="268">
        <f>C8+E8</f>
        <v>1019.76</v>
      </c>
      <c r="G8" s="103"/>
      <c r="H8" s="258">
        <v>25076.36</v>
      </c>
      <c r="I8" s="258"/>
      <c r="J8" s="258"/>
      <c r="K8" s="258">
        <f>H8+J8</f>
        <v>25076.36</v>
      </c>
      <c r="M8" s="263">
        <v>25577.46</v>
      </c>
      <c r="N8" s="263"/>
      <c r="O8" s="263"/>
      <c r="P8" s="263">
        <f>M8+O8</f>
        <v>25577.46</v>
      </c>
    </row>
    <row r="9" spans="1:16" s="23" customFormat="1" ht="12.75">
      <c r="A9" s="103"/>
      <c r="B9" s="103"/>
      <c r="C9" s="271">
        <f>C8</f>
        <v>1019.76</v>
      </c>
      <c r="D9" s="271"/>
      <c r="E9" s="272">
        <f>E8</f>
        <v>0</v>
      </c>
      <c r="F9" s="271">
        <f>F8</f>
        <v>1019.76</v>
      </c>
      <c r="G9" s="103"/>
      <c r="H9" s="273">
        <f>H8</f>
        <v>25076.36</v>
      </c>
      <c r="I9" s="273"/>
      <c r="J9" s="273">
        <f>J8</f>
        <v>0</v>
      </c>
      <c r="K9" s="273">
        <f>K8</f>
        <v>25076.36</v>
      </c>
      <c r="M9" s="274">
        <f>M8</f>
        <v>25577.46</v>
      </c>
      <c r="N9" s="274"/>
      <c r="O9" s="274">
        <f>O8</f>
        <v>0</v>
      </c>
      <c r="P9" s="274">
        <f>P8</f>
        <v>25577.46</v>
      </c>
    </row>
    <row r="10" spans="1:16" ht="12.75">
      <c r="A10" s="103"/>
      <c r="B10" s="103"/>
      <c r="C10" s="269"/>
      <c r="D10" s="269"/>
      <c r="E10" s="254"/>
      <c r="F10" s="269">
        <f>C10+E10</f>
        <v>0</v>
      </c>
      <c r="G10" s="103"/>
      <c r="H10" s="259"/>
      <c r="I10" s="259"/>
      <c r="J10" s="259"/>
      <c r="K10" s="259"/>
      <c r="M10" s="264"/>
      <c r="N10" s="264"/>
      <c r="O10" s="264"/>
      <c r="P10" s="264"/>
    </row>
    <row r="11" spans="1:16" ht="12.75">
      <c r="A11" s="103" t="s">
        <v>107</v>
      </c>
      <c r="B11" s="301" t="s">
        <v>103</v>
      </c>
      <c r="C11" s="267">
        <v>23629.14</v>
      </c>
      <c r="D11" s="267"/>
      <c r="E11" s="252"/>
      <c r="F11" s="267">
        <f>C11+E11</f>
        <v>23629.14</v>
      </c>
      <c r="G11" s="103"/>
      <c r="H11" s="257">
        <v>0</v>
      </c>
      <c r="I11" s="257"/>
      <c r="J11" s="257"/>
      <c r="K11" s="257"/>
      <c r="M11" s="262">
        <v>0</v>
      </c>
      <c r="N11" s="262"/>
      <c r="O11" s="262"/>
      <c r="P11" s="262"/>
    </row>
    <row r="12" spans="1:16" ht="12.75">
      <c r="A12" s="103" t="s">
        <v>174</v>
      </c>
      <c r="B12" s="301" t="s">
        <v>103</v>
      </c>
      <c r="C12" s="268">
        <v>12500</v>
      </c>
      <c r="D12" s="268"/>
      <c r="E12" s="253"/>
      <c r="F12" s="268">
        <f>C12+E12</f>
        <v>12500</v>
      </c>
      <c r="G12" s="103"/>
      <c r="H12" s="258">
        <v>0</v>
      </c>
      <c r="I12" s="258"/>
      <c r="J12" s="258"/>
      <c r="K12" s="258"/>
      <c r="M12" s="263">
        <v>0</v>
      </c>
      <c r="N12" s="263"/>
      <c r="O12" s="263"/>
      <c r="P12" s="263"/>
    </row>
    <row r="13" spans="1:16" ht="12.75">
      <c r="A13" s="103"/>
      <c r="B13" s="103"/>
      <c r="C13" s="275">
        <f>SUM(C11:C12)</f>
        <v>36129.14</v>
      </c>
      <c r="D13" s="275"/>
      <c r="E13" s="252">
        <f>SUM(E11:E12)</f>
        <v>0</v>
      </c>
      <c r="F13" s="275">
        <f>SUM(F11:F12)</f>
        <v>36129.14</v>
      </c>
      <c r="G13" s="103"/>
      <c r="H13" s="257">
        <f>SUM(H11:H12)</f>
        <v>0</v>
      </c>
      <c r="I13" s="257"/>
      <c r="J13" s="257">
        <f>SUM(J11:J12)</f>
        <v>0</v>
      </c>
      <c r="K13" s="257">
        <f>SUM(K11:K12)</f>
        <v>0</v>
      </c>
      <c r="M13" s="262">
        <f>SUM(M11:M12)</f>
        <v>0</v>
      </c>
      <c r="N13" s="262"/>
      <c r="O13" s="262">
        <f>SUM(O11:O12)</f>
        <v>0</v>
      </c>
      <c r="P13" s="262">
        <f>SUM(P11:P12)</f>
        <v>0</v>
      </c>
    </row>
    <row r="14" spans="1:16" ht="12.75">
      <c r="A14" s="103"/>
      <c r="B14" s="103"/>
      <c r="C14" s="267"/>
      <c r="D14" s="267"/>
      <c r="E14" s="252"/>
      <c r="F14" s="267"/>
      <c r="G14" s="103"/>
      <c r="H14" s="257"/>
      <c r="I14" s="257"/>
      <c r="J14" s="257"/>
      <c r="K14" s="257"/>
      <c r="M14" s="262"/>
      <c r="N14" s="262"/>
      <c r="O14" s="262"/>
      <c r="P14" s="262"/>
    </row>
    <row r="15" spans="1:16" ht="12.75">
      <c r="A15" s="103" t="s">
        <v>94</v>
      </c>
      <c r="B15" s="304" t="s">
        <v>217</v>
      </c>
      <c r="C15" s="267">
        <v>44305.79</v>
      </c>
      <c r="D15" s="267"/>
      <c r="E15" s="252"/>
      <c r="F15" s="267">
        <f>C15+E15</f>
        <v>44305.79</v>
      </c>
      <c r="G15" s="103"/>
      <c r="H15" s="257">
        <v>0</v>
      </c>
      <c r="I15" s="257"/>
      <c r="J15" s="257"/>
      <c r="K15" s="257">
        <f>H15+J15</f>
        <v>0</v>
      </c>
      <c r="M15" s="262">
        <v>0</v>
      </c>
      <c r="N15" s="262"/>
      <c r="O15" s="262"/>
      <c r="P15" s="262"/>
    </row>
    <row r="16" spans="1:16" ht="12.75">
      <c r="A16" s="103" t="s">
        <v>93</v>
      </c>
      <c r="B16" s="304" t="s">
        <v>217</v>
      </c>
      <c r="C16" s="267">
        <v>3480.12</v>
      </c>
      <c r="D16" s="267"/>
      <c r="E16" s="252"/>
      <c r="F16" s="267">
        <f>C16+E16</f>
        <v>3480.12</v>
      </c>
      <c r="G16" s="103"/>
      <c r="H16" s="257">
        <v>0</v>
      </c>
      <c r="I16" s="257"/>
      <c r="J16" s="257"/>
      <c r="K16" s="257">
        <f>H16+J16</f>
        <v>0</v>
      </c>
      <c r="M16" s="262">
        <v>0</v>
      </c>
      <c r="N16" s="262"/>
      <c r="O16" s="262"/>
      <c r="P16" s="262"/>
    </row>
    <row r="17" spans="1:16" ht="12.75">
      <c r="A17" s="103" t="s">
        <v>175</v>
      </c>
      <c r="B17" s="304" t="s">
        <v>217</v>
      </c>
      <c r="C17" s="267">
        <v>-16723</v>
      </c>
      <c r="D17" s="267"/>
      <c r="E17" s="252"/>
      <c r="F17" s="267">
        <f>C17+E17</f>
        <v>-16723</v>
      </c>
      <c r="G17" s="103"/>
      <c r="H17" s="257">
        <v>-747</v>
      </c>
      <c r="I17" s="257"/>
      <c r="J17" s="257"/>
      <c r="K17" s="257">
        <f>H17+J17</f>
        <v>-747</v>
      </c>
      <c r="M17" s="262">
        <v>-747</v>
      </c>
      <c r="N17" s="262"/>
      <c r="O17" s="262"/>
      <c r="P17" s="262">
        <f>M17+O17</f>
        <v>-747</v>
      </c>
    </row>
    <row r="18" spans="1:16" ht="12.75">
      <c r="A18" s="103" t="s">
        <v>2</v>
      </c>
      <c r="B18" s="304" t="s">
        <v>130</v>
      </c>
      <c r="C18" s="267">
        <v>196669</v>
      </c>
      <c r="D18" s="267"/>
      <c r="E18" s="252"/>
      <c r="F18" s="267">
        <f>C18+E18</f>
        <v>196669</v>
      </c>
      <c r="G18" s="103"/>
      <c r="H18" s="257">
        <v>196669</v>
      </c>
      <c r="I18" s="257"/>
      <c r="J18" s="257"/>
      <c r="K18" s="257">
        <f>H18+J18</f>
        <v>196669</v>
      </c>
      <c r="M18" s="262">
        <v>196669</v>
      </c>
      <c r="N18" s="262"/>
      <c r="O18" s="262"/>
      <c r="P18" s="262">
        <f>M18+O18</f>
        <v>196669</v>
      </c>
    </row>
    <row r="19" spans="1:16" ht="12.75">
      <c r="A19" s="103" t="s">
        <v>155</v>
      </c>
      <c r="B19" s="301" t="s">
        <v>103</v>
      </c>
      <c r="C19" s="268">
        <v>465</v>
      </c>
      <c r="D19" s="268"/>
      <c r="E19" s="253"/>
      <c r="F19" s="268">
        <f>C19+E19</f>
        <v>465</v>
      </c>
      <c r="G19" s="103"/>
      <c r="H19" s="258">
        <v>465</v>
      </c>
      <c r="I19" s="258"/>
      <c r="J19" s="258"/>
      <c r="K19" s="258">
        <f>H19+J19</f>
        <v>465</v>
      </c>
      <c r="M19" s="263">
        <v>465</v>
      </c>
      <c r="N19" s="263"/>
      <c r="O19" s="263"/>
      <c r="P19" s="263">
        <f>M19+O19</f>
        <v>465</v>
      </c>
    </row>
    <row r="20" spans="1:16" s="23" customFormat="1" ht="12.75">
      <c r="A20" s="103"/>
      <c r="B20" s="103"/>
      <c r="C20" s="275">
        <f>SUM(C15:C19)</f>
        <v>228196.91</v>
      </c>
      <c r="D20" s="275"/>
      <c r="E20" s="276">
        <f>SUM(E15:E19)</f>
        <v>0</v>
      </c>
      <c r="F20" s="275">
        <f>SUM(F15:F19)</f>
        <v>228196.91</v>
      </c>
      <c r="G20" s="103"/>
      <c r="H20" s="277">
        <f>SUM(H15:H19)</f>
        <v>196387</v>
      </c>
      <c r="I20" s="277"/>
      <c r="J20" s="277">
        <f>SUM(J15:J19)</f>
        <v>0</v>
      </c>
      <c r="K20" s="277">
        <f>SUM(K15:K19)</f>
        <v>196387</v>
      </c>
      <c r="M20" s="278">
        <f>SUM(M15:M19)</f>
        <v>196387</v>
      </c>
      <c r="N20" s="278"/>
      <c r="O20" s="278">
        <f>SUM(O15:O19)</f>
        <v>0</v>
      </c>
      <c r="P20" s="278">
        <f>SUM(P15:P19)</f>
        <v>196387</v>
      </c>
    </row>
    <row r="21" spans="1:16" ht="12.75">
      <c r="A21" s="103"/>
      <c r="B21" s="103"/>
      <c r="C21" s="267"/>
      <c r="D21" s="267"/>
      <c r="E21" s="252"/>
      <c r="F21" s="267"/>
      <c r="G21" s="103"/>
      <c r="H21" s="257"/>
      <c r="I21" s="257"/>
      <c r="J21" s="257"/>
      <c r="K21" s="257"/>
      <c r="M21" s="262"/>
      <c r="N21" s="262"/>
      <c r="O21" s="262"/>
      <c r="P21" s="262"/>
    </row>
    <row r="22" spans="1:16" ht="12.75">
      <c r="A22" s="103" t="s">
        <v>156</v>
      </c>
      <c r="B22" s="301" t="s">
        <v>103</v>
      </c>
      <c r="C22" s="267">
        <v>5371</v>
      </c>
      <c r="D22" s="267"/>
      <c r="E22" s="252"/>
      <c r="F22" s="267">
        <f>C22+E22</f>
        <v>5371</v>
      </c>
      <c r="G22" s="103"/>
      <c r="H22" s="257">
        <v>5371</v>
      </c>
      <c r="I22" s="257"/>
      <c r="J22" s="257"/>
      <c r="K22" s="257">
        <f>H22+J22</f>
        <v>5371</v>
      </c>
      <c r="M22" s="262">
        <v>5371</v>
      </c>
      <c r="N22" s="262"/>
      <c r="O22" s="262"/>
      <c r="P22" s="262">
        <f>M22+O22</f>
        <v>5371</v>
      </c>
    </row>
    <row r="23" spans="1:16" ht="12.75">
      <c r="A23" s="103" t="s">
        <v>176</v>
      </c>
      <c r="B23" s="301" t="s">
        <v>103</v>
      </c>
      <c r="C23" s="267">
        <v>5821.87</v>
      </c>
      <c r="D23" s="267"/>
      <c r="E23" s="252"/>
      <c r="F23" s="267">
        <f>C23+E23</f>
        <v>5821.87</v>
      </c>
      <c r="G23" s="103"/>
      <c r="H23" s="257">
        <v>0</v>
      </c>
      <c r="I23" s="257"/>
      <c r="J23" s="257"/>
      <c r="K23" s="257">
        <f>H23+J23</f>
        <v>0</v>
      </c>
      <c r="M23" s="262">
        <v>0</v>
      </c>
      <c r="N23" s="262"/>
      <c r="O23" s="262"/>
      <c r="P23" s="262">
        <f>M23+O23</f>
        <v>0</v>
      </c>
    </row>
    <row r="24" spans="1:16" ht="12.75">
      <c r="A24" s="103" t="s">
        <v>177</v>
      </c>
      <c r="B24" s="103"/>
      <c r="C24" s="268">
        <v>31250</v>
      </c>
      <c r="D24" s="268"/>
      <c r="E24" s="253"/>
      <c r="F24" s="268">
        <f>C24+E24</f>
        <v>31250</v>
      </c>
      <c r="G24" s="103"/>
      <c r="H24" s="258">
        <v>0</v>
      </c>
      <c r="I24" s="258"/>
      <c r="J24" s="258"/>
      <c r="K24" s="258">
        <f>H24+J24</f>
        <v>0</v>
      </c>
      <c r="M24" s="263">
        <v>0</v>
      </c>
      <c r="N24" s="263"/>
      <c r="O24" s="263"/>
      <c r="P24" s="263">
        <f>M24+O24</f>
        <v>0</v>
      </c>
    </row>
    <row r="25" spans="1:16" s="23" customFormat="1" ht="12.75">
      <c r="A25" s="103"/>
      <c r="B25" s="103"/>
      <c r="C25" s="275">
        <f>SUM(C22:C24)</f>
        <v>42442.869999999995</v>
      </c>
      <c r="D25" s="275"/>
      <c r="E25" s="276">
        <f>SUM(E22:E24)</f>
        <v>0</v>
      </c>
      <c r="F25" s="275">
        <f>SUM(F22:F24)</f>
        <v>42442.869999999995</v>
      </c>
      <c r="G25" s="103"/>
      <c r="H25" s="277">
        <f>SUM(H22:H24)</f>
        <v>5371</v>
      </c>
      <c r="I25" s="277"/>
      <c r="J25" s="277">
        <f>SUM(J22:J24)</f>
        <v>0</v>
      </c>
      <c r="K25" s="277">
        <f>SUM(K22:K24)</f>
        <v>5371</v>
      </c>
      <c r="M25" s="278">
        <f>SUM(M22:M24)</f>
        <v>5371</v>
      </c>
      <c r="N25" s="278"/>
      <c r="O25" s="278">
        <f>SUM(O22:O24)</f>
        <v>0</v>
      </c>
      <c r="P25" s="278">
        <f>SUM(P22:P24)</f>
        <v>5371</v>
      </c>
    </row>
    <row r="26" spans="1:16" ht="12.75">
      <c r="A26" s="103"/>
      <c r="B26" s="103"/>
      <c r="C26" s="267"/>
      <c r="D26" s="267"/>
      <c r="E26" s="252"/>
      <c r="F26" s="267">
        <f>C26+E26</f>
        <v>0</v>
      </c>
      <c r="G26" s="103"/>
      <c r="H26" s="257"/>
      <c r="I26" s="257"/>
      <c r="J26" s="257"/>
      <c r="K26" s="257"/>
      <c r="M26" s="262"/>
      <c r="N26" s="262"/>
      <c r="O26" s="262"/>
      <c r="P26" s="262"/>
    </row>
    <row r="27" spans="1:16" ht="12.75">
      <c r="A27" s="103" t="s">
        <v>157</v>
      </c>
      <c r="B27" s="300" t="s">
        <v>218</v>
      </c>
      <c r="C27" s="267">
        <v>-160128</v>
      </c>
      <c r="D27" s="267"/>
      <c r="E27" s="252"/>
      <c r="F27" s="267">
        <f>C27+E27</f>
        <v>-160128</v>
      </c>
      <c r="G27" s="103"/>
      <c r="H27" s="257">
        <v>-279441.53</v>
      </c>
      <c r="I27" s="257"/>
      <c r="J27" s="257"/>
      <c r="K27" s="257">
        <f>H27+J27</f>
        <v>-279441.53</v>
      </c>
      <c r="M27" s="262">
        <v>-233091.84</v>
      </c>
      <c r="N27" s="262"/>
      <c r="O27" s="262"/>
      <c r="P27" s="262">
        <f>M27+O27</f>
        <v>-233091.84</v>
      </c>
    </row>
    <row r="28" spans="1:16" ht="12.75">
      <c r="A28" s="103" t="s">
        <v>178</v>
      </c>
      <c r="B28" s="103"/>
      <c r="C28" s="267">
        <v>-1607</v>
      </c>
      <c r="D28" s="267"/>
      <c r="E28" s="252"/>
      <c r="F28" s="267">
        <f>C28+E28</f>
        <v>-1607</v>
      </c>
      <c r="G28" s="103"/>
      <c r="H28" s="257">
        <v>0</v>
      </c>
      <c r="I28" s="257"/>
      <c r="J28" s="257"/>
      <c r="K28" s="257">
        <f>H28+J28</f>
        <v>0</v>
      </c>
      <c r="M28" s="262"/>
      <c r="N28" s="262"/>
      <c r="O28" s="262"/>
      <c r="P28" s="262">
        <f>M28+O28</f>
        <v>0</v>
      </c>
    </row>
    <row r="29" spans="1:16" ht="12.75">
      <c r="A29" s="103" t="s">
        <v>226</v>
      </c>
      <c r="B29" s="103"/>
      <c r="C29" s="267">
        <v>0</v>
      </c>
      <c r="D29" s="267"/>
      <c r="E29" s="252"/>
      <c r="F29" s="267">
        <f>C29+E29</f>
        <v>0</v>
      </c>
      <c r="G29" s="103"/>
      <c r="H29" s="257">
        <v>0</v>
      </c>
      <c r="I29" s="257"/>
      <c r="J29" s="257"/>
      <c r="K29" s="257"/>
      <c r="M29" s="262">
        <f>-66757.57+8000</f>
        <v>-58757.57000000001</v>
      </c>
      <c r="N29" s="262"/>
      <c r="O29" s="262"/>
      <c r="P29" s="262">
        <f>M29+O29</f>
        <v>-58757.57000000001</v>
      </c>
    </row>
    <row r="30" spans="1:16" ht="12.75">
      <c r="A30" s="103" t="s">
        <v>179</v>
      </c>
      <c r="B30" s="103"/>
      <c r="C30" s="268">
        <v>-21727</v>
      </c>
      <c r="D30" s="268"/>
      <c r="E30" s="253"/>
      <c r="F30" s="268">
        <f>C30+E30</f>
        <v>-21727</v>
      </c>
      <c r="G30" s="103"/>
      <c r="H30" s="258">
        <v>0</v>
      </c>
      <c r="I30" s="258"/>
      <c r="J30" s="258"/>
      <c r="K30" s="258">
        <f>H30+J30</f>
        <v>0</v>
      </c>
      <c r="M30" s="263"/>
      <c r="N30" s="263"/>
      <c r="O30" s="263"/>
      <c r="P30" s="263">
        <f>M30+O30</f>
        <v>0</v>
      </c>
    </row>
    <row r="31" spans="1:16" s="23" customFormat="1" ht="12.75">
      <c r="A31" s="103"/>
      <c r="B31" s="103"/>
      <c r="C31" s="275">
        <f>SUM(C27:C30)</f>
        <v>-183462</v>
      </c>
      <c r="D31" s="275"/>
      <c r="E31" s="276">
        <f>SUM(E27:E30)</f>
        <v>0</v>
      </c>
      <c r="F31" s="275">
        <f>SUM(F27:F30)</f>
        <v>-183462</v>
      </c>
      <c r="G31" s="103"/>
      <c r="H31" s="277">
        <f>SUM(H27:H30)</f>
        <v>-279441.53</v>
      </c>
      <c r="I31" s="277"/>
      <c r="J31" s="277">
        <f>SUM(J27:J30)</f>
        <v>0</v>
      </c>
      <c r="K31" s="277">
        <f>SUM(K27:K30)</f>
        <v>-279441.53</v>
      </c>
      <c r="M31" s="278">
        <f>SUM(M27:M30)</f>
        <v>-291849.41000000003</v>
      </c>
      <c r="N31" s="278"/>
      <c r="O31" s="278">
        <f>SUM(O27:O30)</f>
        <v>0</v>
      </c>
      <c r="P31" s="278">
        <f>SUM(P27:P30)</f>
        <v>-291849.41000000003</v>
      </c>
    </row>
    <row r="32" spans="1:16" ht="12.75">
      <c r="A32" s="103"/>
      <c r="B32" s="103"/>
      <c r="C32" s="267"/>
      <c r="D32" s="267"/>
      <c r="E32" s="252"/>
      <c r="F32" s="267"/>
      <c r="G32" s="103"/>
      <c r="H32" s="257"/>
      <c r="I32" s="257"/>
      <c r="J32" s="257"/>
      <c r="K32" s="257"/>
      <c r="M32" s="262"/>
      <c r="N32" s="262"/>
      <c r="O32" s="262"/>
      <c r="P32" s="262"/>
    </row>
    <row r="33" spans="1:16" ht="12.75">
      <c r="A33" s="103" t="s">
        <v>213</v>
      </c>
      <c r="B33" s="103"/>
      <c r="C33" s="267">
        <v>0</v>
      </c>
      <c r="D33" s="267"/>
      <c r="E33" s="252"/>
      <c r="F33" s="267">
        <f>C33+E33</f>
        <v>0</v>
      </c>
      <c r="G33" s="103"/>
      <c r="H33" s="257"/>
      <c r="I33" s="257"/>
      <c r="J33" s="257"/>
      <c r="K33" s="257"/>
      <c r="M33" s="262"/>
      <c r="N33" s="262"/>
      <c r="O33" s="262"/>
      <c r="P33" s="262"/>
    </row>
    <row r="34" spans="1:16" ht="12.75">
      <c r="A34" s="103" t="s">
        <v>11</v>
      </c>
      <c r="B34" s="303" t="s">
        <v>212</v>
      </c>
      <c r="C34" s="267">
        <v>-59010</v>
      </c>
      <c r="D34" s="267"/>
      <c r="E34" s="252"/>
      <c r="F34" s="267">
        <f>C34+E34</f>
        <v>-59010</v>
      </c>
      <c r="G34" s="298" t="s">
        <v>212</v>
      </c>
      <c r="H34" s="257">
        <v>-54546.79</v>
      </c>
      <c r="I34" s="315" t="s">
        <v>225</v>
      </c>
      <c r="J34" s="315">
        <v>-7361</v>
      </c>
      <c r="K34" s="259">
        <f>H34+J34</f>
        <v>-61907.79</v>
      </c>
      <c r="M34" s="262">
        <v>-64006</v>
      </c>
      <c r="N34" s="315" t="s">
        <v>225</v>
      </c>
      <c r="O34" s="315">
        <v>-7361</v>
      </c>
      <c r="P34" s="262">
        <f>M34+O34</f>
        <v>-71367</v>
      </c>
    </row>
    <row r="35" spans="1:17" ht="12.75">
      <c r="A35" s="103" t="s">
        <v>13</v>
      </c>
      <c r="B35" s="303" t="s">
        <v>212</v>
      </c>
      <c r="C35" s="268">
        <v>-314163</v>
      </c>
      <c r="D35" s="268"/>
      <c r="E35" s="253"/>
      <c r="F35" s="268">
        <f>C35+E35</f>
        <v>-314163</v>
      </c>
      <c r="G35" s="298" t="s">
        <v>212</v>
      </c>
      <c r="H35" s="258">
        <v>-170000</v>
      </c>
      <c r="I35" s="316" t="s">
        <v>225</v>
      </c>
      <c r="J35" s="316">
        <v>6480</v>
      </c>
      <c r="K35" s="258">
        <f>H35+J35</f>
        <v>-163520</v>
      </c>
      <c r="L35" s="299" t="s">
        <v>212</v>
      </c>
      <c r="M35" s="263">
        <v>-157500</v>
      </c>
      <c r="N35" s="316" t="s">
        <v>225</v>
      </c>
      <c r="O35" s="316">
        <v>6480</v>
      </c>
      <c r="P35" s="263">
        <f>M35+O35</f>
        <v>-151020</v>
      </c>
      <c r="Q35" s="299" t="s">
        <v>212</v>
      </c>
    </row>
    <row r="36" spans="1:16" s="23" customFormat="1" ht="12.75">
      <c r="A36" s="103"/>
      <c r="B36" s="103"/>
      <c r="C36" s="275">
        <f>SUM(C33:C35)</f>
        <v>-373173</v>
      </c>
      <c r="D36" s="275"/>
      <c r="E36" s="276">
        <f>SUM(E34:E35)</f>
        <v>0</v>
      </c>
      <c r="F36" s="275">
        <f>SUM(F33:F35)</f>
        <v>-373173</v>
      </c>
      <c r="G36" s="103"/>
      <c r="H36" s="277">
        <f>SUM(H34:H35)</f>
        <v>-224546.79</v>
      </c>
      <c r="I36" s="277"/>
      <c r="J36" s="277">
        <f>SUM(J34:J35)</f>
        <v>-881</v>
      </c>
      <c r="K36" s="277">
        <f>SUM(K34:K35)</f>
        <v>-225427.79</v>
      </c>
      <c r="M36" s="278">
        <f>SUM(M34:M35)</f>
        <v>-221506</v>
      </c>
      <c r="N36" s="278"/>
      <c r="O36" s="278">
        <f>SUM(O34:O35)</f>
        <v>-881</v>
      </c>
      <c r="P36" s="278">
        <f>SUM(P34:P35)</f>
        <v>-222387</v>
      </c>
    </row>
    <row r="37" spans="1:16" ht="12.75">
      <c r="A37" s="103"/>
      <c r="B37" s="103"/>
      <c r="C37" s="267"/>
      <c r="D37" s="267"/>
      <c r="E37" s="252"/>
      <c r="F37" s="267"/>
      <c r="G37" s="103"/>
      <c r="H37" s="257"/>
      <c r="I37" s="257"/>
      <c r="J37" s="257"/>
      <c r="K37" s="257"/>
      <c r="M37" s="262"/>
      <c r="N37" s="262"/>
      <c r="O37" s="262"/>
      <c r="P37" s="262"/>
    </row>
    <row r="38" spans="1:16" ht="12.75">
      <c r="A38" s="103" t="s">
        <v>158</v>
      </c>
      <c r="B38" s="304" t="s">
        <v>211</v>
      </c>
      <c r="C38" s="267">
        <v>-906323</v>
      </c>
      <c r="D38" s="267"/>
      <c r="E38" s="252">
        <v>-50000</v>
      </c>
      <c r="F38" s="267">
        <f>C38+E38</f>
        <v>-956323</v>
      </c>
      <c r="G38" s="103"/>
      <c r="H38" s="257">
        <v>-745585.42</v>
      </c>
      <c r="I38" s="311" t="s">
        <v>221</v>
      </c>
      <c r="J38" s="311">
        <v>-4414.58</v>
      </c>
      <c r="K38" s="257">
        <f>H38+J38</f>
        <v>-750000</v>
      </c>
      <c r="M38" s="262">
        <v>-532544</v>
      </c>
      <c r="N38" s="320" t="s">
        <v>227</v>
      </c>
      <c r="O38" s="320">
        <f>-92455.91</f>
        <v>-92455.91</v>
      </c>
      <c r="P38" s="262">
        <f>M38+O38</f>
        <v>-624999.91</v>
      </c>
    </row>
    <row r="39" spans="1:16" ht="12.75">
      <c r="A39" s="103" t="s">
        <v>159</v>
      </c>
      <c r="B39" s="304" t="s">
        <v>211</v>
      </c>
      <c r="C39" s="268">
        <v>-1029668</v>
      </c>
      <c r="D39" s="268"/>
      <c r="E39" s="253">
        <v>50000</v>
      </c>
      <c r="F39" s="268">
        <f>C39+E39</f>
        <v>-979668</v>
      </c>
      <c r="G39" s="103"/>
      <c r="H39" s="258">
        <v>-739152.09</v>
      </c>
      <c r="I39" s="312" t="s">
        <v>221</v>
      </c>
      <c r="J39" s="312">
        <v>-4124.17</v>
      </c>
      <c r="K39" s="258">
        <f>J39+H39</f>
        <v>-743276.26</v>
      </c>
      <c r="M39" s="263">
        <v>-732340</v>
      </c>
      <c r="N39" s="319" t="s">
        <v>227</v>
      </c>
      <c r="O39" s="319">
        <f>64063.33</f>
        <v>64063.33</v>
      </c>
      <c r="P39" s="263">
        <f>M39+O39</f>
        <v>-668276.67</v>
      </c>
    </row>
    <row r="40" spans="1:16" s="23" customFormat="1" ht="12.75">
      <c r="A40" s="103"/>
      <c r="B40" s="103"/>
      <c r="C40" s="275">
        <f>SUM(C38:C39)</f>
        <v>-1935991</v>
      </c>
      <c r="D40" s="275"/>
      <c r="E40" s="276">
        <f>SUM(E38:E39)</f>
        <v>0</v>
      </c>
      <c r="F40" s="275">
        <f>SUM(F38:F39)</f>
        <v>-1935991</v>
      </c>
      <c r="G40" s="103"/>
      <c r="H40" s="277">
        <f>SUM(H38:H39)</f>
        <v>-1484737.51</v>
      </c>
      <c r="I40" s="277"/>
      <c r="J40" s="277">
        <f>SUM(J38:J39)</f>
        <v>-8538.75</v>
      </c>
      <c r="K40" s="277">
        <f>SUM(K38:K39)</f>
        <v>-1493276.26</v>
      </c>
      <c r="M40" s="278">
        <f>SUM(M38:M39)</f>
        <v>-1264884</v>
      </c>
      <c r="N40" s="278"/>
      <c r="O40" s="278">
        <f>SUM(O38:O39)</f>
        <v>-28392.58</v>
      </c>
      <c r="P40" s="278">
        <f>SUM(P38:P39)</f>
        <v>-1293276.58</v>
      </c>
    </row>
    <row r="41" spans="1:16" ht="12.75">
      <c r="A41" s="103"/>
      <c r="B41" s="103"/>
      <c r="C41" s="267"/>
      <c r="D41" s="267"/>
      <c r="E41" s="252"/>
      <c r="F41" s="267"/>
      <c r="G41" s="103"/>
      <c r="H41" s="257"/>
      <c r="I41" s="257"/>
      <c r="J41" s="257"/>
      <c r="K41" s="257"/>
      <c r="M41" s="262"/>
      <c r="N41" s="262"/>
      <c r="O41" s="262"/>
      <c r="P41" s="262"/>
    </row>
    <row r="42" spans="1:16" ht="12.75">
      <c r="A42" s="103" t="s">
        <v>18</v>
      </c>
      <c r="B42" s="304" t="s">
        <v>102</v>
      </c>
      <c r="C42" s="267">
        <v>40273850.98</v>
      </c>
      <c r="D42" s="267"/>
      <c r="E42" s="252"/>
      <c r="F42" s="267">
        <f>C42+E42</f>
        <v>40273850.98</v>
      </c>
      <c r="G42" s="103"/>
      <c r="H42" s="257">
        <v>40273851</v>
      </c>
      <c r="I42" s="257"/>
      <c r="J42" s="257"/>
      <c r="K42" s="257">
        <f>H42+J42</f>
        <v>40273851</v>
      </c>
      <c r="M42" s="262">
        <v>40273851</v>
      </c>
      <c r="N42" s="262"/>
      <c r="O42" s="262"/>
      <c r="P42" s="262">
        <f>M42+O42</f>
        <v>40273851</v>
      </c>
    </row>
    <row r="43" spans="1:16" ht="12.75">
      <c r="A43" s="103" t="s">
        <v>19</v>
      </c>
      <c r="B43" s="304" t="s">
        <v>102</v>
      </c>
      <c r="C43" s="267">
        <v>-39844943</v>
      </c>
      <c r="D43" s="305" t="s">
        <v>219</v>
      </c>
      <c r="E43" s="306">
        <v>-1029383</v>
      </c>
      <c r="F43" s="267">
        <f>C43+E43+E44</f>
        <v>-41446529</v>
      </c>
      <c r="G43" s="103"/>
      <c r="H43" s="257">
        <v>-40434336</v>
      </c>
      <c r="I43" s="305" t="s">
        <v>219</v>
      </c>
      <c r="J43" s="306">
        <f>E43</f>
        <v>-1029383</v>
      </c>
      <c r="K43" s="257">
        <f>H43+J43+J44+J45+J46</f>
        <v>-42955904</v>
      </c>
      <c r="M43" s="262">
        <v>-41901053</v>
      </c>
      <c r="N43" s="305" t="s">
        <v>219</v>
      </c>
      <c r="O43" s="306">
        <f>J43</f>
        <v>-1029383</v>
      </c>
      <c r="P43" s="262">
        <f>M43+O43+O44+O45+O46+O47</f>
        <v>-44014223</v>
      </c>
    </row>
    <row r="44" spans="1:16" ht="12.75">
      <c r="A44" s="103"/>
      <c r="B44" s="304"/>
      <c r="C44" s="267"/>
      <c r="D44" s="308" t="s">
        <v>220</v>
      </c>
      <c r="E44" s="262">
        <v>-572203</v>
      </c>
      <c r="F44" s="267"/>
      <c r="G44" s="103"/>
      <c r="H44" s="257"/>
      <c r="I44" s="308" t="s">
        <v>220</v>
      </c>
      <c r="J44" s="262">
        <v>-572203</v>
      </c>
      <c r="K44" s="257"/>
      <c r="M44" s="262"/>
      <c r="N44" s="308" t="s">
        <v>220</v>
      </c>
      <c r="O44" s="262">
        <v>-572203</v>
      </c>
      <c r="P44" s="262"/>
    </row>
    <row r="45" spans="1:16" ht="12.75">
      <c r="A45" s="103"/>
      <c r="B45" s="304"/>
      <c r="C45" s="267"/>
      <c r="D45" s="267"/>
      <c r="E45" s="252"/>
      <c r="F45" s="267"/>
      <c r="G45" s="103"/>
      <c r="H45" s="257"/>
      <c r="I45" s="317" t="s">
        <v>222</v>
      </c>
      <c r="J45" s="317">
        <v>-77979</v>
      </c>
      <c r="K45" s="257"/>
      <c r="M45" s="262"/>
      <c r="N45" s="317" t="s">
        <v>222</v>
      </c>
      <c r="O45" s="317">
        <v>-77979</v>
      </c>
      <c r="P45" s="262"/>
    </row>
    <row r="46" spans="1:16" ht="12.75">
      <c r="A46" s="103"/>
      <c r="B46" s="304"/>
      <c r="C46" s="267"/>
      <c r="D46" s="267"/>
      <c r="E46" s="252"/>
      <c r="F46" s="267"/>
      <c r="G46" s="103"/>
      <c r="H46" s="257"/>
      <c r="I46" s="307" t="s">
        <v>224</v>
      </c>
      <c r="J46" s="307">
        <f>-919982-J45</f>
        <v>-842003</v>
      </c>
      <c r="K46" s="257"/>
      <c r="M46" s="262"/>
      <c r="N46" s="307" t="s">
        <v>224</v>
      </c>
      <c r="O46" s="307">
        <f>-919982-O45</f>
        <v>-842003</v>
      </c>
      <c r="P46" s="262"/>
    </row>
    <row r="47" spans="1:16" ht="12.75">
      <c r="A47" s="103"/>
      <c r="B47" s="304"/>
      <c r="C47" s="267"/>
      <c r="D47" s="267"/>
      <c r="E47" s="252"/>
      <c r="F47" s="267"/>
      <c r="G47" s="103"/>
      <c r="H47" s="257"/>
      <c r="I47" s="257"/>
      <c r="J47" s="257"/>
      <c r="K47" s="257"/>
      <c r="M47" s="262"/>
      <c r="N47" s="321" t="s">
        <v>228</v>
      </c>
      <c r="O47" s="321">
        <v>408398</v>
      </c>
      <c r="P47" s="262"/>
    </row>
    <row r="48" spans="1:16" ht="12.75">
      <c r="A48" s="103"/>
      <c r="B48" s="304"/>
      <c r="C48" s="267"/>
      <c r="D48" s="267"/>
      <c r="E48" s="252"/>
      <c r="F48" s="267"/>
      <c r="G48" s="103"/>
      <c r="H48" s="257"/>
      <c r="I48" s="257"/>
      <c r="J48" s="257"/>
      <c r="K48" s="257"/>
      <c r="M48" s="262"/>
      <c r="N48" s="262"/>
      <c r="O48" s="262"/>
      <c r="P48" s="262"/>
    </row>
    <row r="49" spans="1:16" ht="12.75">
      <c r="A49" s="103"/>
      <c r="B49" s="304"/>
      <c r="C49" s="267"/>
      <c r="D49" s="267"/>
      <c r="E49" s="252"/>
      <c r="F49" s="267"/>
      <c r="G49" s="103"/>
      <c r="H49" s="257"/>
      <c r="I49" s="257"/>
      <c r="J49" s="257"/>
      <c r="K49" s="257"/>
      <c r="M49" s="262"/>
      <c r="N49" s="262"/>
      <c r="O49" s="262"/>
      <c r="P49" s="262"/>
    </row>
    <row r="50" spans="1:16" ht="12.75">
      <c r="A50" s="103" t="s">
        <v>192</v>
      </c>
      <c r="B50" s="304" t="s">
        <v>102</v>
      </c>
      <c r="C50" s="267">
        <v>2530588.23</v>
      </c>
      <c r="D50" s="267"/>
      <c r="E50" s="252">
        <f>556000+572203</f>
        <v>1128203</v>
      </c>
      <c r="F50" s="267">
        <f>C50+E50</f>
        <v>3658791.23</v>
      </c>
      <c r="G50" s="103"/>
      <c r="H50" s="257">
        <f>SUM(H70:H142)</f>
        <v>1064529.0199999996</v>
      </c>
      <c r="I50" s="257"/>
      <c r="J50" s="257">
        <f>8538.75+77979-203725+881</f>
        <v>-116326.25</v>
      </c>
      <c r="K50" s="257">
        <f>H50+J50</f>
        <v>948202.7699999996</v>
      </c>
      <c r="M50" s="262">
        <f>SUM(M70:M142)</f>
        <v>845607.9600000001</v>
      </c>
      <c r="N50" s="262"/>
      <c r="O50" s="262">
        <f>O143</f>
        <v>-432534.42</v>
      </c>
      <c r="P50" s="262">
        <f>M50+O50</f>
        <v>413073.5400000001</v>
      </c>
    </row>
    <row r="51" spans="1:16" s="34" customFormat="1" ht="12.75">
      <c r="A51" s="309" t="s">
        <v>20</v>
      </c>
      <c r="B51" s="310" t="s">
        <v>102</v>
      </c>
      <c r="C51" s="269">
        <v>-164955.48</v>
      </c>
      <c r="D51" s="269"/>
      <c r="E51" s="254"/>
      <c r="F51" s="269">
        <f>C51+E51</f>
        <v>-164955.48</v>
      </c>
      <c r="G51" s="309"/>
      <c r="H51" s="259">
        <f>2600458-170988-999</f>
        <v>2428471</v>
      </c>
      <c r="I51" s="308" t="s">
        <v>220</v>
      </c>
      <c r="J51" s="262">
        <v>572203</v>
      </c>
      <c r="K51" s="259">
        <f>H51+J51+J52</f>
        <v>3556674</v>
      </c>
      <c r="M51" s="264">
        <f>3528096+536295</f>
        <v>4064391</v>
      </c>
      <c r="N51" s="308" t="s">
        <v>220</v>
      </c>
      <c r="O51" s="262">
        <v>572203</v>
      </c>
      <c r="P51" s="262">
        <f>M51+O51+O52+O53+O54+O55+O56</f>
        <v>5067729</v>
      </c>
    </row>
    <row r="52" spans="1:16" ht="12.75">
      <c r="A52" s="103"/>
      <c r="B52" s="304"/>
      <c r="C52" s="269"/>
      <c r="D52" s="269"/>
      <c r="E52" s="254"/>
      <c r="F52" s="269"/>
      <c r="G52" s="103"/>
      <c r="H52" s="259"/>
      <c r="I52" s="313" t="s">
        <v>219</v>
      </c>
      <c r="J52" s="313">
        <v>556000</v>
      </c>
      <c r="K52" s="259"/>
      <c r="M52" s="264"/>
      <c r="N52" s="313" t="s">
        <v>219</v>
      </c>
      <c r="O52" s="313">
        <v>556000</v>
      </c>
      <c r="P52" s="264"/>
    </row>
    <row r="53" spans="1:16" ht="12.75">
      <c r="A53" s="103"/>
      <c r="B53" s="304"/>
      <c r="C53" s="269"/>
      <c r="D53" s="269"/>
      <c r="E53" s="254"/>
      <c r="F53" s="269"/>
      <c r="G53" s="103"/>
      <c r="H53" s="259"/>
      <c r="I53" s="259"/>
      <c r="J53" s="259"/>
      <c r="K53" s="259"/>
      <c r="M53" s="264"/>
      <c r="N53" s="317" t="s">
        <v>222</v>
      </c>
      <c r="O53" s="317">
        <v>77979</v>
      </c>
      <c r="P53" s="264"/>
    </row>
    <row r="54" spans="1:16" ht="12.75">
      <c r="A54" s="103"/>
      <c r="B54" s="304"/>
      <c r="C54" s="269"/>
      <c r="D54" s="269"/>
      <c r="E54" s="254"/>
      <c r="F54" s="269"/>
      <c r="G54" s="103"/>
      <c r="H54" s="259"/>
      <c r="I54" s="259"/>
      <c r="J54" s="259"/>
      <c r="K54" s="259"/>
      <c r="M54" s="264"/>
      <c r="N54" s="307" t="s">
        <v>224</v>
      </c>
      <c r="O54" s="307">
        <v>-203725</v>
      </c>
      <c r="P54" s="264"/>
    </row>
    <row r="55" spans="1:16" ht="12.75">
      <c r="A55" s="103"/>
      <c r="B55" s="304"/>
      <c r="C55" s="269"/>
      <c r="D55" s="269"/>
      <c r="E55" s="254"/>
      <c r="F55" s="269"/>
      <c r="G55" s="103"/>
      <c r="H55" s="259"/>
      <c r="I55" s="259"/>
      <c r="J55" s="259"/>
      <c r="K55" s="259"/>
      <c r="M55" s="264"/>
      <c r="N55" s="318" t="s">
        <v>225</v>
      </c>
      <c r="O55" s="318">
        <v>881</v>
      </c>
      <c r="P55" s="264"/>
    </row>
    <row r="56" spans="1:16" ht="12.75">
      <c r="A56" s="103"/>
      <c r="B56" s="304"/>
      <c r="C56" s="269"/>
      <c r="D56" s="269"/>
      <c r="E56" s="254"/>
      <c r="F56" s="269"/>
      <c r="G56" s="103"/>
      <c r="H56" s="259"/>
      <c r="I56" s="259"/>
      <c r="J56" s="259"/>
      <c r="K56" s="259"/>
      <c r="M56" s="264"/>
      <c r="N56" s="264"/>
      <c r="O56" s="264"/>
      <c r="P56" s="264"/>
    </row>
    <row r="57" spans="1:16" ht="12.75">
      <c r="A57" s="103"/>
      <c r="B57" s="304"/>
      <c r="C57" s="268"/>
      <c r="D57" s="268"/>
      <c r="E57" s="253"/>
      <c r="F57" s="268"/>
      <c r="G57" s="103"/>
      <c r="H57" s="258"/>
      <c r="I57" s="258"/>
      <c r="J57" s="258"/>
      <c r="K57" s="258"/>
      <c r="M57" s="263"/>
      <c r="N57" s="263"/>
      <c r="O57" s="263"/>
      <c r="P57" s="263"/>
    </row>
    <row r="58" spans="1:16" s="23" customFormat="1" ht="12.75">
      <c r="A58" s="103"/>
      <c r="B58" s="103"/>
      <c r="C58" s="275">
        <f>SUM(C42:C51)</f>
        <v>2794540.7299999967</v>
      </c>
      <c r="D58" s="275"/>
      <c r="E58" s="276">
        <f>SUM(E42:E51)</f>
        <v>-473383</v>
      </c>
      <c r="F58" s="275">
        <f>SUM(F42:F51)</f>
        <v>2321157.7299999967</v>
      </c>
      <c r="G58" s="103"/>
      <c r="H58" s="277">
        <f>SUM(H42:H51)</f>
        <v>3332515.0199999996</v>
      </c>
      <c r="I58" s="277"/>
      <c r="J58" s="277">
        <f>SUM(J42:J51)</f>
        <v>-2065691.25</v>
      </c>
      <c r="K58" s="277">
        <f>SUM(K42:K51)</f>
        <v>1822823.7699999996</v>
      </c>
      <c r="M58" s="278">
        <f>SUM(M42:M51)</f>
        <v>3282796.96</v>
      </c>
      <c r="N58" s="278"/>
      <c r="O58" s="278">
        <f>SUM(O42:O51)</f>
        <v>-1973501.42</v>
      </c>
      <c r="P58" s="278">
        <f>SUM(P42:P51)</f>
        <v>1740430.54</v>
      </c>
    </row>
    <row r="59" spans="1:16" ht="12.75">
      <c r="A59" s="103"/>
      <c r="B59" s="103"/>
      <c r="C59" s="267"/>
      <c r="D59" s="267"/>
      <c r="E59" s="252"/>
      <c r="F59" s="267"/>
      <c r="G59" s="103"/>
      <c r="H59" s="257"/>
      <c r="I59" s="257"/>
      <c r="J59" s="257"/>
      <c r="K59" s="257"/>
      <c r="M59" s="262"/>
      <c r="N59" s="262"/>
      <c r="O59" s="262"/>
      <c r="P59" s="262"/>
    </row>
    <row r="60" spans="1:16" ht="12.75">
      <c r="A60" s="103" t="s">
        <v>160</v>
      </c>
      <c r="B60" s="304" t="s">
        <v>102</v>
      </c>
      <c r="C60" s="267">
        <v>0</v>
      </c>
      <c r="D60" s="267"/>
      <c r="E60" s="252"/>
      <c r="F60" s="267"/>
      <c r="G60" s="103"/>
      <c r="H60" s="257">
        <v>30000</v>
      </c>
      <c r="I60" s="257"/>
      <c r="J60" s="257"/>
      <c r="K60" s="257">
        <f aca="true" t="shared" si="0" ref="K60:K65">H60+J60</f>
        <v>30000</v>
      </c>
      <c r="M60" s="262">
        <v>42500</v>
      </c>
      <c r="N60" s="262"/>
      <c r="O60" s="262"/>
      <c r="P60" s="262">
        <f aca="true" t="shared" si="1" ref="P60:P65">M60+O60</f>
        <v>42500</v>
      </c>
    </row>
    <row r="61" spans="1:16" ht="12.75">
      <c r="A61" s="103" t="s">
        <v>21</v>
      </c>
      <c r="B61" s="304" t="s">
        <v>102</v>
      </c>
      <c r="C61" s="267">
        <v>426214.52</v>
      </c>
      <c r="D61" s="305" t="s">
        <v>219</v>
      </c>
      <c r="E61" s="306">
        <v>473383</v>
      </c>
      <c r="F61" s="267">
        <f aca="true" t="shared" si="2" ref="F61:F66">C61+E61</f>
        <v>899597.52</v>
      </c>
      <c r="G61" s="103"/>
      <c r="H61" s="257">
        <v>420998.29</v>
      </c>
      <c r="I61" s="305" t="s">
        <v>219</v>
      </c>
      <c r="J61" s="306">
        <f>E61</f>
        <v>473383</v>
      </c>
      <c r="K61" s="257">
        <f t="shared" si="0"/>
        <v>894381.29</v>
      </c>
      <c r="M61" s="262">
        <v>420998</v>
      </c>
      <c r="N61" s="305" t="s">
        <v>219</v>
      </c>
      <c r="O61" s="306">
        <f>J61</f>
        <v>473383</v>
      </c>
      <c r="P61" s="262">
        <f t="shared" si="1"/>
        <v>894381</v>
      </c>
    </row>
    <row r="62" spans="1:16" ht="12.75">
      <c r="A62" s="103" t="s">
        <v>22</v>
      </c>
      <c r="B62" s="304" t="s">
        <v>102</v>
      </c>
      <c r="C62" s="267">
        <v>-3373823</v>
      </c>
      <c r="D62" s="267"/>
      <c r="E62" s="252"/>
      <c r="F62" s="267">
        <f t="shared" si="2"/>
        <v>-3373823</v>
      </c>
      <c r="G62" s="103"/>
      <c r="H62" s="257">
        <v>-4481530</v>
      </c>
      <c r="I62" s="307" t="s">
        <v>224</v>
      </c>
      <c r="J62" s="307">
        <v>1045727</v>
      </c>
      <c r="K62" s="257">
        <f t="shared" si="0"/>
        <v>-3435803</v>
      </c>
      <c r="M62" s="262">
        <v>-4573748</v>
      </c>
      <c r="N62" s="307" t="s">
        <v>224</v>
      </c>
      <c r="O62" s="307">
        <v>1045727</v>
      </c>
      <c r="P62" s="262">
        <f t="shared" si="1"/>
        <v>-3528021</v>
      </c>
    </row>
    <row r="63" spans="1:16" ht="12.75">
      <c r="A63" s="103" t="s">
        <v>23</v>
      </c>
      <c r="B63" s="304" t="s">
        <v>102</v>
      </c>
      <c r="C63" s="267">
        <v>1064274.4</v>
      </c>
      <c r="D63" s="267"/>
      <c r="E63" s="252"/>
      <c r="F63" s="267">
        <f t="shared" si="2"/>
        <v>1064274.4</v>
      </c>
      <c r="G63" s="103"/>
      <c r="H63" s="257">
        <v>1064274</v>
      </c>
      <c r="I63" s="257"/>
      <c r="J63" s="257"/>
      <c r="K63" s="257">
        <f t="shared" si="0"/>
        <v>1064274</v>
      </c>
      <c r="M63" s="262">
        <v>1064274</v>
      </c>
      <c r="N63" s="321" t="s">
        <v>228</v>
      </c>
      <c r="O63" s="321">
        <v>52529</v>
      </c>
      <c r="P63" s="262">
        <f t="shared" si="1"/>
        <v>1116803</v>
      </c>
    </row>
    <row r="64" spans="1:16" ht="12.75">
      <c r="A64" s="103" t="s">
        <v>24</v>
      </c>
      <c r="B64" s="304" t="s">
        <v>102</v>
      </c>
      <c r="C64" s="267">
        <v>1027272.5</v>
      </c>
      <c r="D64" s="267"/>
      <c r="E64" s="252"/>
      <c r="F64" s="267">
        <f t="shared" si="2"/>
        <v>1027272.5</v>
      </c>
      <c r="G64" s="103"/>
      <c r="H64" s="257">
        <v>1024373</v>
      </c>
      <c r="I64" s="257"/>
      <c r="J64" s="257"/>
      <c r="K64" s="257">
        <f t="shared" si="0"/>
        <v>1024373</v>
      </c>
      <c r="M64" s="262">
        <v>1022213</v>
      </c>
      <c r="N64" s="262"/>
      <c r="O64" s="262"/>
      <c r="P64" s="262">
        <f t="shared" si="1"/>
        <v>1022213</v>
      </c>
    </row>
    <row r="65" spans="1:16" ht="12.75">
      <c r="A65" s="103" t="s">
        <v>25</v>
      </c>
      <c r="B65" s="304" t="s">
        <v>102</v>
      </c>
      <c r="C65" s="268">
        <v>246222.5</v>
      </c>
      <c r="D65" s="268"/>
      <c r="E65" s="253"/>
      <c r="F65" s="268">
        <f t="shared" si="2"/>
        <v>246222.5</v>
      </c>
      <c r="G65" s="103"/>
      <c r="H65" s="258">
        <v>246222.5</v>
      </c>
      <c r="I65" s="258"/>
      <c r="J65" s="258"/>
      <c r="K65" s="258">
        <f t="shared" si="0"/>
        <v>246222.5</v>
      </c>
      <c r="M65" s="263">
        <v>246223</v>
      </c>
      <c r="N65" s="263"/>
      <c r="O65" s="263"/>
      <c r="P65" s="263">
        <f t="shared" si="1"/>
        <v>246223</v>
      </c>
    </row>
    <row r="66" spans="1:16" s="23" customFormat="1" ht="12.75">
      <c r="A66" s="103"/>
      <c r="B66" s="103"/>
      <c r="C66" s="275">
        <f>SUM(C60:C65)</f>
        <v>-609839.0800000001</v>
      </c>
      <c r="D66" s="275"/>
      <c r="E66" s="276">
        <f>SUM(E61:E65)</f>
        <v>473383</v>
      </c>
      <c r="F66" s="275">
        <f t="shared" si="2"/>
        <v>-136456.08000000007</v>
      </c>
      <c r="G66" s="103"/>
      <c r="H66" s="277">
        <f>SUM(H60:H65)</f>
        <v>-1695662.21</v>
      </c>
      <c r="I66" s="277"/>
      <c r="J66" s="277">
        <f>SUM(J60:J65)</f>
        <v>1519110</v>
      </c>
      <c r="K66" s="277">
        <f>SUM(K60:K65)</f>
        <v>-176552.20999999996</v>
      </c>
      <c r="M66" s="278">
        <f>SUM(M60:M65)</f>
        <v>-1777540</v>
      </c>
      <c r="N66" s="278"/>
      <c r="O66" s="278">
        <f>SUM(O60:O65)</f>
        <v>1571639</v>
      </c>
      <c r="P66" s="278">
        <f>SUM(P60:P65)</f>
        <v>-205901</v>
      </c>
    </row>
    <row r="67" spans="1:16" ht="12.75">
      <c r="A67" s="103"/>
      <c r="B67" s="103"/>
      <c r="C67" s="267"/>
      <c r="D67" s="267"/>
      <c r="E67" s="252"/>
      <c r="F67" s="267"/>
      <c r="G67" s="103"/>
      <c r="H67" s="257"/>
      <c r="I67" s="257"/>
      <c r="J67" s="257"/>
      <c r="K67" s="257"/>
      <c r="M67" s="262"/>
      <c r="N67" s="262"/>
      <c r="O67" s="262"/>
      <c r="P67" s="262"/>
    </row>
    <row r="68" spans="1:17" s="284" customFormat="1" ht="13.5" thickBot="1">
      <c r="A68" s="291" t="s">
        <v>191</v>
      </c>
      <c r="B68" s="291"/>
      <c r="C68" s="292">
        <f>C6+C9+C13+C20+C25+C31+C36+C40+C58+C66</f>
        <v>-3.259629011154175E-09</v>
      </c>
      <c r="D68" s="292"/>
      <c r="E68" s="293"/>
      <c r="F68" s="292">
        <f>F6+F9+F13+F20+F25+F31+F36+F40+F58+F66</f>
        <v>-3.259629011154175E-09</v>
      </c>
      <c r="G68" s="291"/>
      <c r="H68" s="293">
        <f>H6+H9+H13+H20+H25+H31+H36+H40+H58+H66</f>
        <v>0.7699999995529652</v>
      </c>
      <c r="I68" s="293"/>
      <c r="J68" s="293"/>
      <c r="K68" s="293">
        <f>K6+K9+K13+K20+K25+K31+K36+K40+K58+K66</f>
        <v>-0.23000000044703484</v>
      </c>
      <c r="L68" s="294"/>
      <c r="M68" s="293">
        <f>M6+M9+M13+M20+M25+M31+M36+M40+M58+M66</f>
        <v>1.0099999997764826</v>
      </c>
      <c r="N68" s="293"/>
      <c r="O68" s="293"/>
      <c r="P68" s="293">
        <f>P6+P9+P13+P20+P25+P31+P36+P40+P58+P66</f>
        <v>0.009999999776482582</v>
      </c>
      <c r="Q68" s="294"/>
    </row>
    <row r="69" spans="1:16" ht="13.5" thickTop="1">
      <c r="A69" s="103"/>
      <c r="B69" s="103"/>
      <c r="C69" s="267"/>
      <c r="D69" s="267"/>
      <c r="E69" s="252"/>
      <c r="F69" s="267"/>
      <c r="G69" s="103"/>
      <c r="H69" s="257"/>
      <c r="I69" s="257"/>
      <c r="J69" s="257"/>
      <c r="K69" s="257"/>
      <c r="M69" s="262"/>
      <c r="N69" s="262"/>
      <c r="O69" s="262"/>
      <c r="P69" s="262"/>
    </row>
    <row r="70" spans="1:16" ht="12.75">
      <c r="A70" s="103" t="s">
        <v>186</v>
      </c>
      <c r="B70" s="103"/>
      <c r="C70" s="267"/>
      <c r="D70" s="267"/>
      <c r="E70" s="252"/>
      <c r="F70" s="267"/>
      <c r="G70" s="103"/>
      <c r="H70" s="257"/>
      <c r="I70" s="257"/>
      <c r="J70" s="257"/>
      <c r="K70" s="257">
        <f aca="true" t="shared" si="3" ref="K70:K134">H70+J70</f>
        <v>0</v>
      </c>
      <c r="M70" s="262">
        <v>330.03</v>
      </c>
      <c r="N70" s="262"/>
      <c r="O70" s="262"/>
      <c r="P70" s="262">
        <f aca="true" t="shared" si="4" ref="P70:P133">M70+O70</f>
        <v>330.03</v>
      </c>
    </row>
    <row r="71" spans="1:16" ht="12.75">
      <c r="A71" s="103" t="s">
        <v>180</v>
      </c>
      <c r="B71" s="103"/>
      <c r="C71" s="267">
        <v>1899</v>
      </c>
      <c r="D71" s="267"/>
      <c r="E71" s="252"/>
      <c r="F71" s="267">
        <f aca="true" t="shared" si="5" ref="F71:F135">C71+E71</f>
        <v>1899</v>
      </c>
      <c r="G71" s="103"/>
      <c r="H71" s="257"/>
      <c r="I71" s="257"/>
      <c r="J71" s="257"/>
      <c r="K71" s="257">
        <f t="shared" si="3"/>
        <v>0</v>
      </c>
      <c r="M71" s="262">
        <v>991.84</v>
      </c>
      <c r="N71" s="262"/>
      <c r="O71" s="262"/>
      <c r="P71" s="262">
        <f t="shared" si="4"/>
        <v>991.84</v>
      </c>
    </row>
    <row r="72" spans="1:16" ht="12.75">
      <c r="A72" s="103" t="s">
        <v>161</v>
      </c>
      <c r="B72" s="103"/>
      <c r="C72" s="267">
        <v>2021</v>
      </c>
      <c r="D72" s="267"/>
      <c r="E72" s="252"/>
      <c r="F72" s="267">
        <f t="shared" si="5"/>
        <v>2021</v>
      </c>
      <c r="G72" s="103"/>
      <c r="H72" s="257">
        <v>28.08</v>
      </c>
      <c r="I72" s="257"/>
      <c r="J72" s="257"/>
      <c r="K72" s="257">
        <f t="shared" si="3"/>
        <v>28.08</v>
      </c>
      <c r="M72" s="262">
        <v>563.95</v>
      </c>
      <c r="N72" s="262"/>
      <c r="O72" s="262"/>
      <c r="P72" s="262">
        <f t="shared" si="4"/>
        <v>563.95</v>
      </c>
    </row>
    <row r="73" spans="1:16" ht="12.75">
      <c r="A73" s="103" t="s">
        <v>181</v>
      </c>
      <c r="B73" s="103"/>
      <c r="C73" s="267">
        <v>2017.02</v>
      </c>
      <c r="D73" s="267"/>
      <c r="E73" s="252"/>
      <c r="F73" s="267">
        <f t="shared" si="5"/>
        <v>2017.02</v>
      </c>
      <c r="G73" s="103"/>
      <c r="H73" s="257"/>
      <c r="I73" s="257"/>
      <c r="J73" s="257"/>
      <c r="K73" s="257">
        <f t="shared" si="3"/>
        <v>0</v>
      </c>
      <c r="M73" s="262">
        <v>0</v>
      </c>
      <c r="N73" s="262"/>
      <c r="O73" s="262"/>
      <c r="P73" s="262">
        <f t="shared" si="4"/>
        <v>0</v>
      </c>
    </row>
    <row r="74" spans="1:16" ht="12.75">
      <c r="A74" s="103" t="s">
        <v>182</v>
      </c>
      <c r="B74" s="103"/>
      <c r="C74" s="267">
        <v>1165.84</v>
      </c>
      <c r="D74" s="267"/>
      <c r="E74" s="252"/>
      <c r="F74" s="267">
        <f t="shared" si="5"/>
        <v>1165.84</v>
      </c>
      <c r="G74" s="103"/>
      <c r="H74" s="257"/>
      <c r="I74" s="257"/>
      <c r="J74" s="257"/>
      <c r="K74" s="257">
        <f t="shared" si="3"/>
        <v>0</v>
      </c>
      <c r="M74" s="262"/>
      <c r="N74" s="262"/>
      <c r="O74" s="262"/>
      <c r="P74" s="262">
        <f t="shared" si="4"/>
        <v>0</v>
      </c>
    </row>
    <row r="75" spans="1:16" ht="12.75">
      <c r="A75" s="103" t="s">
        <v>183</v>
      </c>
      <c r="B75" s="103"/>
      <c r="C75" s="267">
        <v>1563.81</v>
      </c>
      <c r="D75" s="267"/>
      <c r="E75" s="252"/>
      <c r="F75" s="267">
        <f t="shared" si="5"/>
        <v>1563.81</v>
      </c>
      <c r="G75" s="103"/>
      <c r="H75" s="257"/>
      <c r="I75" s="257"/>
      <c r="J75" s="257"/>
      <c r="K75" s="257">
        <f t="shared" si="3"/>
        <v>0</v>
      </c>
      <c r="M75" s="262">
        <v>194.51</v>
      </c>
      <c r="N75" s="262"/>
      <c r="O75" s="262"/>
      <c r="P75" s="262">
        <f t="shared" si="4"/>
        <v>194.51</v>
      </c>
    </row>
    <row r="76" spans="1:16" ht="12.75">
      <c r="A76" s="103" t="s">
        <v>162</v>
      </c>
      <c r="B76" s="103"/>
      <c r="C76" s="267">
        <v>-19.94</v>
      </c>
      <c r="D76" s="267"/>
      <c r="E76" s="252"/>
      <c r="F76" s="267">
        <f t="shared" si="5"/>
        <v>-19.94</v>
      </c>
      <c r="G76" s="103"/>
      <c r="H76" s="257">
        <v>98.8</v>
      </c>
      <c r="I76" s="257"/>
      <c r="J76" s="257"/>
      <c r="K76" s="257">
        <f t="shared" si="3"/>
        <v>98.8</v>
      </c>
      <c r="M76" s="262">
        <v>0</v>
      </c>
      <c r="N76" s="262"/>
      <c r="O76" s="262"/>
      <c r="P76" s="262">
        <f t="shared" si="4"/>
        <v>0</v>
      </c>
    </row>
    <row r="77" spans="1:16" ht="12.75">
      <c r="A77" s="103" t="s">
        <v>163</v>
      </c>
      <c r="B77" s="103"/>
      <c r="C77" s="267">
        <v>16585.63</v>
      </c>
      <c r="D77" s="267"/>
      <c r="E77" s="252"/>
      <c r="F77" s="267">
        <f t="shared" si="5"/>
        <v>16585.63</v>
      </c>
      <c r="G77" s="103"/>
      <c r="H77" s="257">
        <v>1233.1</v>
      </c>
      <c r="I77" s="257"/>
      <c r="J77" s="257"/>
      <c r="K77" s="257">
        <f t="shared" si="3"/>
        <v>1233.1</v>
      </c>
      <c r="M77" s="262">
        <v>541.36</v>
      </c>
      <c r="N77" s="262"/>
      <c r="O77" s="262"/>
      <c r="P77" s="262">
        <f t="shared" si="4"/>
        <v>541.36</v>
      </c>
    </row>
    <row r="78" spans="1:16" ht="12.75">
      <c r="A78" s="103" t="s">
        <v>26</v>
      </c>
      <c r="B78" s="103"/>
      <c r="C78" s="267">
        <v>3240</v>
      </c>
      <c r="D78" s="267"/>
      <c r="E78" s="252"/>
      <c r="F78" s="267">
        <f t="shared" si="5"/>
        <v>3240</v>
      </c>
      <c r="G78" s="103"/>
      <c r="H78" s="257">
        <v>803.23</v>
      </c>
      <c r="I78" s="257"/>
      <c r="J78" s="257"/>
      <c r="K78" s="257">
        <f t="shared" si="3"/>
        <v>803.23</v>
      </c>
      <c r="M78" s="262">
        <v>262.27</v>
      </c>
      <c r="N78" s="262"/>
      <c r="O78" s="262"/>
      <c r="P78" s="262">
        <f t="shared" si="4"/>
        <v>262.27</v>
      </c>
    </row>
    <row r="79" spans="1:16" ht="12.75">
      <c r="A79" s="103" t="s">
        <v>79</v>
      </c>
      <c r="B79" s="103"/>
      <c r="C79" s="267">
        <v>126.14</v>
      </c>
      <c r="D79" s="267"/>
      <c r="E79" s="252"/>
      <c r="F79" s="267">
        <f t="shared" si="5"/>
        <v>126.14</v>
      </c>
      <c r="G79" s="103"/>
      <c r="H79" s="257">
        <v>233.26</v>
      </c>
      <c r="I79" s="257"/>
      <c r="J79" s="257"/>
      <c r="K79" s="257">
        <f t="shared" si="3"/>
        <v>233.26</v>
      </c>
      <c r="M79" s="262">
        <v>404.56</v>
      </c>
      <c r="N79" s="262"/>
      <c r="O79" s="262"/>
      <c r="P79" s="262">
        <f t="shared" si="4"/>
        <v>404.56</v>
      </c>
    </row>
    <row r="80" spans="1:16" ht="12.75">
      <c r="A80" s="103" t="s">
        <v>27</v>
      </c>
      <c r="B80" s="103"/>
      <c r="C80" s="267">
        <v>0</v>
      </c>
      <c r="D80" s="267"/>
      <c r="E80" s="252"/>
      <c r="F80" s="267">
        <f t="shared" si="5"/>
        <v>0</v>
      </c>
      <c r="G80" s="103"/>
      <c r="H80" s="257">
        <v>9124.95</v>
      </c>
      <c r="I80" s="257"/>
      <c r="J80" s="257"/>
      <c r="K80" s="257">
        <f t="shared" si="3"/>
        <v>9124.95</v>
      </c>
      <c r="M80" s="262">
        <v>10167.35</v>
      </c>
      <c r="N80" s="262"/>
      <c r="O80" s="262"/>
      <c r="P80" s="262">
        <f t="shared" si="4"/>
        <v>10167.35</v>
      </c>
    </row>
    <row r="81" spans="1:16" ht="12.75">
      <c r="A81" s="103" t="s">
        <v>28</v>
      </c>
      <c r="B81" s="103"/>
      <c r="C81" s="267">
        <v>418.27</v>
      </c>
      <c r="D81" s="267"/>
      <c r="E81" s="252"/>
      <c r="F81" s="267">
        <f t="shared" si="5"/>
        <v>418.27</v>
      </c>
      <c r="G81" s="103"/>
      <c r="H81" s="257">
        <v>1635.76</v>
      </c>
      <c r="I81" s="257"/>
      <c r="J81" s="257"/>
      <c r="K81" s="257">
        <f t="shared" si="3"/>
        <v>1635.76</v>
      </c>
      <c r="M81" s="262">
        <v>1526.7</v>
      </c>
      <c r="N81" s="262"/>
      <c r="O81" s="262"/>
      <c r="P81" s="262">
        <f t="shared" si="4"/>
        <v>1526.7</v>
      </c>
    </row>
    <row r="82" spans="1:16" ht="12.75">
      <c r="A82" s="103" t="s">
        <v>184</v>
      </c>
      <c r="B82" s="103"/>
      <c r="C82" s="267">
        <v>119.06</v>
      </c>
      <c r="D82" s="267"/>
      <c r="E82" s="252"/>
      <c r="F82" s="267">
        <f t="shared" si="5"/>
        <v>119.06</v>
      </c>
      <c r="G82" s="103"/>
      <c r="H82" s="257"/>
      <c r="I82" s="257"/>
      <c r="J82" s="257"/>
      <c r="K82" s="257">
        <f t="shared" si="3"/>
        <v>0</v>
      </c>
      <c r="M82" s="262">
        <v>89.94</v>
      </c>
      <c r="N82" s="262"/>
      <c r="O82" s="262"/>
      <c r="P82" s="262">
        <f t="shared" si="4"/>
        <v>89.94</v>
      </c>
    </row>
    <row r="83" spans="1:16" ht="12.75">
      <c r="A83" s="103" t="s">
        <v>134</v>
      </c>
      <c r="B83" s="103"/>
      <c r="C83" s="267">
        <v>0</v>
      </c>
      <c r="D83" s="308" t="s">
        <v>220</v>
      </c>
      <c r="E83" s="262">
        <v>572203</v>
      </c>
      <c r="F83" s="267">
        <f t="shared" si="5"/>
        <v>572203</v>
      </c>
      <c r="G83" s="103"/>
      <c r="H83" s="257"/>
      <c r="I83" s="314" t="s">
        <v>223</v>
      </c>
      <c r="J83" s="314">
        <v>77979</v>
      </c>
      <c r="K83" s="257">
        <f t="shared" si="3"/>
        <v>77979</v>
      </c>
      <c r="M83" s="262"/>
      <c r="N83" s="262"/>
      <c r="O83" s="262"/>
      <c r="P83" s="262">
        <f t="shared" si="4"/>
        <v>0</v>
      </c>
    </row>
    <row r="84" spans="1:16" ht="12.75">
      <c r="A84" s="103" t="s">
        <v>164</v>
      </c>
      <c r="B84" s="103"/>
      <c r="C84" s="267">
        <v>13200</v>
      </c>
      <c r="D84" s="267"/>
      <c r="E84" s="252"/>
      <c r="F84" s="267">
        <f t="shared" si="5"/>
        <v>13200</v>
      </c>
      <c r="G84" s="103"/>
      <c r="H84" s="257">
        <v>4427.1</v>
      </c>
      <c r="I84" s="315" t="s">
        <v>225</v>
      </c>
      <c r="J84" s="315">
        <v>881</v>
      </c>
      <c r="K84" s="257">
        <f t="shared" si="3"/>
        <v>5308.1</v>
      </c>
      <c r="M84" s="262">
        <v>0</v>
      </c>
      <c r="N84" s="262"/>
      <c r="O84" s="262"/>
      <c r="P84" s="262">
        <f t="shared" si="4"/>
        <v>0</v>
      </c>
    </row>
    <row r="85" spans="1:16" ht="12.75">
      <c r="A85" s="103" t="s">
        <v>78</v>
      </c>
      <c r="B85" s="103"/>
      <c r="C85" s="267">
        <v>142</v>
      </c>
      <c r="D85" s="267"/>
      <c r="E85" s="252"/>
      <c r="F85" s="267">
        <f t="shared" si="5"/>
        <v>142</v>
      </c>
      <c r="G85" s="103"/>
      <c r="H85" s="257">
        <v>109</v>
      </c>
      <c r="I85" s="257"/>
      <c r="J85" s="257"/>
      <c r="K85" s="257">
        <f t="shared" si="3"/>
        <v>109</v>
      </c>
      <c r="M85" s="262">
        <v>226.37</v>
      </c>
      <c r="N85" s="262"/>
      <c r="O85" s="262"/>
      <c r="P85" s="262">
        <f t="shared" si="4"/>
        <v>226.37</v>
      </c>
    </row>
    <row r="86" spans="1:16" ht="12.75">
      <c r="A86" s="103" t="s">
        <v>31</v>
      </c>
      <c r="B86" s="103"/>
      <c r="C86" s="267">
        <v>118.75</v>
      </c>
      <c r="D86" s="267"/>
      <c r="E86" s="252"/>
      <c r="F86" s="267">
        <f t="shared" si="5"/>
        <v>118.75</v>
      </c>
      <c r="G86" s="103"/>
      <c r="H86" s="257"/>
      <c r="I86" s="257"/>
      <c r="J86" s="257"/>
      <c r="K86" s="257">
        <f t="shared" si="3"/>
        <v>0</v>
      </c>
      <c r="M86" s="262">
        <v>0</v>
      </c>
      <c r="N86" s="262"/>
      <c r="O86" s="262"/>
      <c r="P86" s="262">
        <f t="shared" si="4"/>
        <v>0</v>
      </c>
    </row>
    <row r="87" spans="1:16" ht="12.75">
      <c r="A87" s="103" t="s">
        <v>32</v>
      </c>
      <c r="B87" s="103"/>
      <c r="C87" s="267">
        <v>150</v>
      </c>
      <c r="D87" s="267"/>
      <c r="E87" s="252"/>
      <c r="F87" s="267">
        <f t="shared" si="5"/>
        <v>150</v>
      </c>
      <c r="G87" s="103"/>
      <c r="H87" s="257"/>
      <c r="I87" s="257"/>
      <c r="J87" s="257"/>
      <c r="K87" s="257">
        <f t="shared" si="3"/>
        <v>0</v>
      </c>
      <c r="M87" s="262">
        <v>40217.7</v>
      </c>
      <c r="N87" s="262"/>
      <c r="O87" s="262"/>
      <c r="P87" s="262">
        <f t="shared" si="4"/>
        <v>40217.7</v>
      </c>
    </row>
    <row r="88" spans="1:16" ht="12.75">
      <c r="A88" s="102" t="s">
        <v>187</v>
      </c>
      <c r="B88" s="102"/>
      <c r="C88" s="267"/>
      <c r="D88" s="267"/>
      <c r="E88" s="252"/>
      <c r="F88" s="267">
        <f t="shared" si="5"/>
        <v>0</v>
      </c>
      <c r="G88" s="103"/>
      <c r="H88" s="257"/>
      <c r="I88" s="257"/>
      <c r="J88" s="257"/>
      <c r="K88" s="257">
        <f t="shared" si="3"/>
        <v>0</v>
      </c>
      <c r="M88" s="262">
        <v>2288.85</v>
      </c>
      <c r="N88" s="262"/>
      <c r="O88" s="262"/>
      <c r="P88" s="262">
        <f t="shared" si="4"/>
        <v>2288.85</v>
      </c>
    </row>
    <row r="89" spans="1:16" ht="12.75">
      <c r="A89" s="103" t="s">
        <v>185</v>
      </c>
      <c r="B89" s="103"/>
      <c r="C89" s="267">
        <v>33.6</v>
      </c>
      <c r="D89" s="267"/>
      <c r="E89" s="252"/>
      <c r="F89" s="267">
        <f t="shared" si="5"/>
        <v>33.6</v>
      </c>
      <c r="G89" s="103"/>
      <c r="H89" s="257"/>
      <c r="I89" s="257"/>
      <c r="J89" s="257"/>
      <c r="K89" s="257">
        <f t="shared" si="3"/>
        <v>0</v>
      </c>
      <c r="M89" s="262">
        <v>329.42</v>
      </c>
      <c r="N89" s="262"/>
      <c r="O89" s="262"/>
      <c r="P89" s="262">
        <f t="shared" si="4"/>
        <v>329.42</v>
      </c>
    </row>
    <row r="90" spans="1:16" ht="13.5" customHeight="1">
      <c r="A90" s="103" t="s">
        <v>33</v>
      </c>
      <c r="B90" s="103"/>
      <c r="C90" s="267">
        <v>782.25</v>
      </c>
      <c r="D90" s="267"/>
      <c r="E90" s="252"/>
      <c r="F90" s="267">
        <f t="shared" si="5"/>
        <v>782.25</v>
      </c>
      <c r="G90" s="103"/>
      <c r="H90" s="257">
        <v>491</v>
      </c>
      <c r="I90" s="257"/>
      <c r="J90" s="257"/>
      <c r="K90" s="257">
        <f t="shared" si="3"/>
        <v>491</v>
      </c>
      <c r="M90" s="262">
        <v>689.27</v>
      </c>
      <c r="N90" s="262"/>
      <c r="O90" s="262"/>
      <c r="P90" s="262">
        <f t="shared" si="4"/>
        <v>689.27</v>
      </c>
    </row>
    <row r="91" spans="1:16" ht="12.75">
      <c r="A91" s="103" t="s">
        <v>92</v>
      </c>
      <c r="B91" s="103"/>
      <c r="C91" s="267">
        <v>88.9</v>
      </c>
      <c r="D91" s="267"/>
      <c r="E91" s="252"/>
      <c r="F91" s="267">
        <f t="shared" si="5"/>
        <v>88.9</v>
      </c>
      <c r="G91" s="103"/>
      <c r="H91" s="257">
        <v>17749.49</v>
      </c>
      <c r="I91" s="257"/>
      <c r="J91" s="257"/>
      <c r="K91" s="257">
        <f t="shared" si="3"/>
        <v>17749.49</v>
      </c>
      <c r="M91" s="262">
        <v>0</v>
      </c>
      <c r="N91" s="262"/>
      <c r="O91" s="262"/>
      <c r="P91" s="262">
        <f t="shared" si="4"/>
        <v>0</v>
      </c>
    </row>
    <row r="92" spans="1:16" ht="12.75">
      <c r="A92" s="103" t="s">
        <v>77</v>
      </c>
      <c r="B92" s="103"/>
      <c r="C92" s="267">
        <v>2559.99</v>
      </c>
      <c r="D92" s="267"/>
      <c r="E92" s="252"/>
      <c r="F92" s="267">
        <f t="shared" si="5"/>
        <v>2559.99</v>
      </c>
      <c r="G92" s="103"/>
      <c r="H92" s="257">
        <v>11920</v>
      </c>
      <c r="I92" s="257"/>
      <c r="J92" s="257"/>
      <c r="K92" s="257">
        <f t="shared" si="3"/>
        <v>11920</v>
      </c>
      <c r="M92" s="262">
        <v>112</v>
      </c>
      <c r="N92" s="262"/>
      <c r="O92" s="262"/>
      <c r="P92" s="262">
        <f t="shared" si="4"/>
        <v>112</v>
      </c>
    </row>
    <row r="93" spans="1:16" ht="12.75">
      <c r="A93" s="103" t="s">
        <v>91</v>
      </c>
      <c r="B93" s="103"/>
      <c r="C93" s="267">
        <v>424.67</v>
      </c>
      <c r="D93" s="267"/>
      <c r="E93" s="252"/>
      <c r="F93" s="267">
        <f t="shared" si="5"/>
        <v>424.67</v>
      </c>
      <c r="G93" s="103"/>
      <c r="H93" s="257">
        <v>6394</v>
      </c>
      <c r="I93" s="257"/>
      <c r="J93" s="257"/>
      <c r="K93" s="257">
        <f t="shared" si="3"/>
        <v>6394</v>
      </c>
      <c r="M93" s="262">
        <v>0</v>
      </c>
      <c r="N93" s="262"/>
      <c r="O93" s="262"/>
      <c r="P93" s="262">
        <f t="shared" si="4"/>
        <v>0</v>
      </c>
    </row>
    <row r="94" spans="1:16" ht="12.75">
      <c r="A94" s="103" t="s">
        <v>35</v>
      </c>
      <c r="B94" s="103"/>
      <c r="C94" s="267">
        <v>27</v>
      </c>
      <c r="D94" s="267"/>
      <c r="E94" s="252"/>
      <c r="F94" s="267">
        <f t="shared" si="5"/>
        <v>27</v>
      </c>
      <c r="G94" s="103"/>
      <c r="H94" s="257"/>
      <c r="I94" s="257"/>
      <c r="J94" s="257"/>
      <c r="K94" s="257">
        <f t="shared" si="3"/>
        <v>0</v>
      </c>
      <c r="M94" s="262">
        <v>670</v>
      </c>
      <c r="N94" s="262"/>
      <c r="O94" s="262"/>
      <c r="P94" s="262">
        <f t="shared" si="4"/>
        <v>670</v>
      </c>
    </row>
    <row r="95" spans="1:16" ht="12.75">
      <c r="A95" s="103" t="s">
        <v>76</v>
      </c>
      <c r="B95" s="103"/>
      <c r="C95" s="267">
        <v>492068.27</v>
      </c>
      <c r="D95" s="267"/>
      <c r="E95" s="252"/>
      <c r="F95" s="267">
        <f t="shared" si="5"/>
        <v>492068.27</v>
      </c>
      <c r="G95" s="103"/>
      <c r="H95" s="257">
        <v>10892.86</v>
      </c>
      <c r="I95" s="257"/>
      <c r="J95" s="257"/>
      <c r="K95" s="257">
        <f t="shared" si="3"/>
        <v>10892.86</v>
      </c>
      <c r="M95" s="262">
        <v>0</v>
      </c>
      <c r="N95" s="262"/>
      <c r="O95" s="262"/>
      <c r="P95" s="262">
        <f t="shared" si="4"/>
        <v>0</v>
      </c>
    </row>
    <row r="96" spans="1:16" ht="12.75">
      <c r="A96" s="103" t="s">
        <v>75</v>
      </c>
      <c r="B96" s="103"/>
      <c r="C96" s="267">
        <v>137.5</v>
      </c>
      <c r="D96" s="267"/>
      <c r="E96" s="252"/>
      <c r="F96" s="267">
        <f t="shared" si="5"/>
        <v>137.5</v>
      </c>
      <c r="G96" s="103"/>
      <c r="H96" s="257"/>
      <c r="I96" s="257"/>
      <c r="J96" s="257"/>
      <c r="K96" s="257">
        <f t="shared" si="3"/>
        <v>0</v>
      </c>
      <c r="M96" s="262">
        <v>0</v>
      </c>
      <c r="N96" s="262"/>
      <c r="O96" s="262"/>
      <c r="P96" s="262">
        <f t="shared" si="4"/>
        <v>0</v>
      </c>
    </row>
    <row r="97" spans="1:16" ht="12.75">
      <c r="A97" s="103" t="s">
        <v>36</v>
      </c>
      <c r="B97" s="300" t="s">
        <v>215</v>
      </c>
      <c r="C97" s="267">
        <v>488390.72</v>
      </c>
      <c r="D97" s="267"/>
      <c r="E97" s="252"/>
      <c r="F97" s="267">
        <f t="shared" si="5"/>
        <v>488390.72</v>
      </c>
      <c r="G97" s="103"/>
      <c r="H97" s="257">
        <v>175120.6</v>
      </c>
      <c r="I97" s="257"/>
      <c r="J97" s="257"/>
      <c r="K97" s="257">
        <f t="shared" si="3"/>
        <v>175120.6</v>
      </c>
      <c r="M97" s="262">
        <v>99417.85</v>
      </c>
      <c r="N97" s="262"/>
      <c r="O97" s="262"/>
      <c r="P97" s="262">
        <f t="shared" si="4"/>
        <v>99417.85</v>
      </c>
    </row>
    <row r="98" spans="1:16" ht="12.75">
      <c r="A98" s="103" t="s">
        <v>165</v>
      </c>
      <c r="B98" s="103"/>
      <c r="C98" s="267">
        <v>1195</v>
      </c>
      <c r="D98" s="267"/>
      <c r="E98" s="252"/>
      <c r="F98" s="267">
        <f t="shared" si="5"/>
        <v>1195</v>
      </c>
      <c r="G98" s="103"/>
      <c r="H98" s="257">
        <v>1037</v>
      </c>
      <c r="I98" s="257"/>
      <c r="J98" s="257"/>
      <c r="K98" s="257">
        <f t="shared" si="3"/>
        <v>1037</v>
      </c>
      <c r="M98" s="262">
        <v>1170</v>
      </c>
      <c r="N98" s="262"/>
      <c r="O98" s="262"/>
      <c r="P98" s="262">
        <f t="shared" si="4"/>
        <v>1170</v>
      </c>
    </row>
    <row r="99" spans="1:16" ht="12.75">
      <c r="A99" s="103" t="s">
        <v>200</v>
      </c>
      <c r="B99" s="103"/>
      <c r="C99" s="267"/>
      <c r="D99" s="267"/>
      <c r="E99" s="252"/>
      <c r="F99" s="267">
        <f t="shared" si="5"/>
        <v>0</v>
      </c>
      <c r="G99" s="103"/>
      <c r="H99" s="257"/>
      <c r="I99" s="257"/>
      <c r="J99" s="257"/>
      <c r="K99" s="257">
        <f t="shared" si="3"/>
        <v>0</v>
      </c>
      <c r="M99" s="262"/>
      <c r="N99" s="262"/>
      <c r="O99" s="262"/>
      <c r="P99" s="262">
        <f t="shared" si="4"/>
        <v>0</v>
      </c>
    </row>
    <row r="100" spans="1:16" ht="12.75">
      <c r="A100" s="103" t="s">
        <v>74</v>
      </c>
      <c r="B100" s="103"/>
      <c r="C100" s="267">
        <v>49.95</v>
      </c>
      <c r="D100" s="267"/>
      <c r="E100" s="252"/>
      <c r="F100" s="267">
        <f t="shared" si="5"/>
        <v>49.95</v>
      </c>
      <c r="G100" s="103"/>
      <c r="H100" s="257">
        <v>3143.27</v>
      </c>
      <c r="I100" s="257"/>
      <c r="J100" s="257"/>
      <c r="K100" s="257">
        <f t="shared" si="3"/>
        <v>3143.27</v>
      </c>
      <c r="M100" s="262">
        <v>1220</v>
      </c>
      <c r="N100" s="262"/>
      <c r="O100" s="262"/>
      <c r="P100" s="262">
        <f t="shared" si="4"/>
        <v>1220</v>
      </c>
    </row>
    <row r="101" spans="1:16" ht="12.75">
      <c r="A101" s="103" t="s">
        <v>73</v>
      </c>
      <c r="B101" s="103"/>
      <c r="C101" s="267"/>
      <c r="D101" s="267"/>
      <c r="E101" s="252"/>
      <c r="F101" s="267">
        <f t="shared" si="5"/>
        <v>0</v>
      </c>
      <c r="G101" s="103"/>
      <c r="H101" s="257"/>
      <c r="I101" s="257"/>
      <c r="J101" s="257"/>
      <c r="K101" s="257">
        <f t="shared" si="3"/>
        <v>0</v>
      </c>
      <c r="M101" s="262"/>
      <c r="N101" s="262"/>
      <c r="O101" s="262"/>
      <c r="P101" s="262">
        <f t="shared" si="4"/>
        <v>0</v>
      </c>
    </row>
    <row r="102" spans="1:16" ht="12.75">
      <c r="A102" s="103" t="s">
        <v>39</v>
      </c>
      <c r="B102" s="103"/>
      <c r="C102" s="267">
        <v>5223.47</v>
      </c>
      <c r="D102" s="267"/>
      <c r="E102" s="252"/>
      <c r="F102" s="267">
        <f t="shared" si="5"/>
        <v>5223.47</v>
      </c>
      <c r="G102" s="103"/>
      <c r="H102" s="257">
        <v>9232.71</v>
      </c>
      <c r="I102" s="257"/>
      <c r="J102" s="257"/>
      <c r="K102" s="257">
        <f t="shared" si="3"/>
        <v>9232.71</v>
      </c>
      <c r="M102" s="262">
        <v>3489.96</v>
      </c>
      <c r="N102" s="262"/>
      <c r="O102" s="262"/>
      <c r="P102" s="262">
        <f t="shared" si="4"/>
        <v>3489.96</v>
      </c>
    </row>
    <row r="103" spans="1:16" ht="12.75">
      <c r="A103" s="103" t="s">
        <v>40</v>
      </c>
      <c r="B103" s="103"/>
      <c r="C103" s="267">
        <v>4311.27</v>
      </c>
      <c r="D103" s="267"/>
      <c r="E103" s="252"/>
      <c r="F103" s="267">
        <f t="shared" si="5"/>
        <v>4311.27</v>
      </c>
      <c r="G103" s="103"/>
      <c r="H103" s="257">
        <v>2693.94</v>
      </c>
      <c r="I103" s="257"/>
      <c r="J103" s="257"/>
      <c r="K103" s="257">
        <f t="shared" si="3"/>
        <v>2693.94</v>
      </c>
      <c r="M103" s="262">
        <v>4384.64</v>
      </c>
      <c r="N103" s="262"/>
      <c r="O103" s="262"/>
      <c r="P103" s="262">
        <f t="shared" si="4"/>
        <v>4384.64</v>
      </c>
    </row>
    <row r="104" spans="1:16" ht="12.75">
      <c r="A104" s="103" t="s">
        <v>41</v>
      </c>
      <c r="B104" s="103"/>
      <c r="C104" s="267">
        <v>41067.33</v>
      </c>
      <c r="D104" s="267"/>
      <c r="E104" s="252"/>
      <c r="F104" s="267">
        <f t="shared" si="5"/>
        <v>41067.33</v>
      </c>
      <c r="G104" s="103"/>
      <c r="H104" s="257">
        <v>17469.98</v>
      </c>
      <c r="I104" s="257"/>
      <c r="J104" s="257"/>
      <c r="K104" s="257">
        <f t="shared" si="3"/>
        <v>17469.98</v>
      </c>
      <c r="M104" s="262">
        <v>33444.67</v>
      </c>
      <c r="N104" s="262"/>
      <c r="O104" s="262"/>
      <c r="P104" s="262">
        <f t="shared" si="4"/>
        <v>33444.67</v>
      </c>
    </row>
    <row r="105" spans="1:16" ht="12.75">
      <c r="A105" s="103" t="s">
        <v>166</v>
      </c>
      <c r="B105" s="300" t="s">
        <v>214</v>
      </c>
      <c r="C105" s="267">
        <v>101000</v>
      </c>
      <c r="D105" s="267"/>
      <c r="E105" s="252"/>
      <c r="F105" s="267">
        <f t="shared" si="5"/>
        <v>101000</v>
      </c>
      <c r="G105" s="103"/>
      <c r="H105" s="257">
        <v>129886.37</v>
      </c>
      <c r="I105" s="257"/>
      <c r="J105" s="257"/>
      <c r="K105" s="257">
        <f t="shared" si="3"/>
        <v>129886.37</v>
      </c>
      <c r="M105" s="262">
        <v>68692</v>
      </c>
      <c r="N105" s="262"/>
      <c r="O105" s="262"/>
      <c r="P105" s="262">
        <f t="shared" si="4"/>
        <v>68692</v>
      </c>
    </row>
    <row r="106" spans="1:16" ht="12.75">
      <c r="A106" s="103" t="s">
        <v>72</v>
      </c>
      <c r="B106" s="300" t="s">
        <v>214</v>
      </c>
      <c r="C106" s="267">
        <v>102195.08</v>
      </c>
      <c r="D106" s="267"/>
      <c r="E106" s="252"/>
      <c r="F106" s="267">
        <f t="shared" si="5"/>
        <v>102195.08</v>
      </c>
      <c r="G106" s="103"/>
      <c r="H106" s="257">
        <v>70738.42</v>
      </c>
      <c r="I106" s="257"/>
      <c r="J106" s="257"/>
      <c r="K106" s="257">
        <f t="shared" si="3"/>
        <v>70738.42</v>
      </c>
      <c r="M106" s="262">
        <v>17933</v>
      </c>
      <c r="N106" s="262"/>
      <c r="O106" s="262"/>
      <c r="P106" s="262">
        <f t="shared" si="4"/>
        <v>17933</v>
      </c>
    </row>
    <row r="107" spans="1:16" ht="12.75">
      <c r="A107" s="103" t="s">
        <v>167</v>
      </c>
      <c r="B107" s="300" t="s">
        <v>214</v>
      </c>
      <c r="C107" s="267">
        <v>552000</v>
      </c>
      <c r="D107" s="305" t="s">
        <v>219</v>
      </c>
      <c r="E107" s="306">
        <v>556000</v>
      </c>
      <c r="F107" s="267">
        <f t="shared" si="5"/>
        <v>1108000</v>
      </c>
      <c r="G107" s="103"/>
      <c r="H107" s="257">
        <v>416000</v>
      </c>
      <c r="I107" s="307" t="s">
        <v>224</v>
      </c>
      <c r="J107" s="307">
        <v>-203725</v>
      </c>
      <c r="K107" s="257">
        <f t="shared" si="3"/>
        <v>212275</v>
      </c>
      <c r="M107" s="262">
        <v>289500</v>
      </c>
      <c r="N107" s="321" t="s">
        <v>228</v>
      </c>
      <c r="O107" s="321">
        <v>-460927</v>
      </c>
      <c r="P107" s="262">
        <f t="shared" si="4"/>
        <v>-171427</v>
      </c>
    </row>
    <row r="108" spans="1:16" ht="12.75">
      <c r="A108" s="103" t="s">
        <v>90</v>
      </c>
      <c r="B108" s="103"/>
      <c r="C108" s="267">
        <v>0</v>
      </c>
      <c r="D108" s="267"/>
      <c r="E108" s="252"/>
      <c r="F108" s="267">
        <f t="shared" si="5"/>
        <v>0</v>
      </c>
      <c r="G108" s="103"/>
      <c r="H108" s="257">
        <v>50</v>
      </c>
      <c r="I108" s="257"/>
      <c r="J108" s="257"/>
      <c r="K108" s="257">
        <f t="shared" si="3"/>
        <v>50</v>
      </c>
      <c r="M108" s="262">
        <v>0</v>
      </c>
      <c r="N108" s="262"/>
      <c r="O108" s="262"/>
      <c r="P108" s="262">
        <f t="shared" si="4"/>
        <v>0</v>
      </c>
    </row>
    <row r="109" spans="1:16" ht="12.75">
      <c r="A109" s="103" t="s">
        <v>42</v>
      </c>
      <c r="B109" s="300" t="s">
        <v>214</v>
      </c>
      <c r="C109" s="267">
        <v>96948.25</v>
      </c>
      <c r="D109" s="267"/>
      <c r="E109" s="252"/>
      <c r="F109" s="267">
        <f t="shared" si="5"/>
        <v>96948.25</v>
      </c>
      <c r="G109" s="103"/>
      <c r="H109" s="257">
        <v>17344.6</v>
      </c>
      <c r="I109" s="257"/>
      <c r="J109" s="257"/>
      <c r="K109" s="257">
        <f t="shared" si="3"/>
        <v>17344.6</v>
      </c>
      <c r="M109" s="262">
        <v>32200</v>
      </c>
      <c r="N109" s="262"/>
      <c r="O109" s="262"/>
      <c r="P109" s="262">
        <f t="shared" si="4"/>
        <v>32200</v>
      </c>
    </row>
    <row r="110" spans="1:16" ht="12.75">
      <c r="A110" s="103" t="s">
        <v>168</v>
      </c>
      <c r="B110" s="103"/>
      <c r="C110" s="267">
        <v>27351.57</v>
      </c>
      <c r="D110" s="267"/>
      <c r="E110" s="252"/>
      <c r="F110" s="267">
        <f t="shared" si="5"/>
        <v>27351.57</v>
      </c>
      <c r="G110" s="103"/>
      <c r="H110" s="257">
        <v>6782.35</v>
      </c>
      <c r="I110" s="257"/>
      <c r="J110" s="257"/>
      <c r="K110" s="257">
        <f t="shared" si="3"/>
        <v>6782.35</v>
      </c>
      <c r="M110" s="262">
        <v>0</v>
      </c>
      <c r="N110" s="262"/>
      <c r="O110" s="262"/>
      <c r="P110" s="262">
        <f t="shared" si="4"/>
        <v>0</v>
      </c>
    </row>
    <row r="111" spans="1:16" ht="12.75">
      <c r="A111" s="102" t="s">
        <v>169</v>
      </c>
      <c r="B111" s="102"/>
      <c r="C111" s="267"/>
      <c r="D111" s="267"/>
      <c r="E111" s="252"/>
      <c r="F111" s="267">
        <f t="shared" si="5"/>
        <v>0</v>
      </c>
      <c r="G111" s="103"/>
      <c r="H111" s="257"/>
      <c r="I111" s="257"/>
      <c r="J111" s="257"/>
      <c r="K111" s="257">
        <f t="shared" si="3"/>
        <v>0</v>
      </c>
      <c r="M111" s="262">
        <v>-12500</v>
      </c>
      <c r="N111" s="262"/>
      <c r="O111" s="262"/>
      <c r="P111" s="262">
        <f t="shared" si="4"/>
        <v>-12500</v>
      </c>
    </row>
    <row r="112" spans="1:16" ht="12.75">
      <c r="A112" s="103" t="s">
        <v>43</v>
      </c>
      <c r="B112" s="300" t="s">
        <v>214</v>
      </c>
      <c r="C112" s="267">
        <v>11481.98</v>
      </c>
      <c r="D112" s="267"/>
      <c r="E112" s="252"/>
      <c r="F112" s="267">
        <f t="shared" si="5"/>
        <v>11481.98</v>
      </c>
      <c r="G112" s="103"/>
      <c r="H112" s="257">
        <v>168588.76</v>
      </c>
      <c r="I112" s="257"/>
      <c r="J112" s="257"/>
      <c r="K112" s="257">
        <f t="shared" si="3"/>
        <v>168588.76</v>
      </c>
      <c r="M112" s="262">
        <v>67437.07</v>
      </c>
      <c r="N112" s="262"/>
      <c r="O112" s="262"/>
      <c r="P112" s="262">
        <f t="shared" si="4"/>
        <v>67437.07</v>
      </c>
    </row>
    <row r="113" spans="1:16" ht="12.75">
      <c r="A113" s="103" t="s">
        <v>44</v>
      </c>
      <c r="B113" s="300" t="s">
        <v>214</v>
      </c>
      <c r="C113" s="267">
        <v>45241.5</v>
      </c>
      <c r="D113" s="267"/>
      <c r="E113" s="252"/>
      <c r="F113" s="267">
        <f t="shared" si="5"/>
        <v>45241.5</v>
      </c>
      <c r="G113" s="103"/>
      <c r="H113" s="257">
        <v>-89746.26</v>
      </c>
      <c r="I113" s="257"/>
      <c r="J113" s="257"/>
      <c r="K113" s="257">
        <f t="shared" si="3"/>
        <v>-89746.26</v>
      </c>
      <c r="M113" s="262">
        <v>0</v>
      </c>
      <c r="N113" s="262"/>
      <c r="O113" s="262"/>
      <c r="P113" s="262">
        <f t="shared" si="4"/>
        <v>0</v>
      </c>
    </row>
    <row r="114" spans="1:16" ht="12.75">
      <c r="A114" s="103" t="s">
        <v>169</v>
      </c>
      <c r="B114" s="300" t="s">
        <v>214</v>
      </c>
      <c r="C114" s="267">
        <v>3688.13</v>
      </c>
      <c r="D114" s="267"/>
      <c r="E114" s="252"/>
      <c r="F114" s="267">
        <f t="shared" si="5"/>
        <v>3688.13</v>
      </c>
      <c r="G114" s="103"/>
      <c r="H114" s="257">
        <v>-30000</v>
      </c>
      <c r="I114" s="257"/>
      <c r="J114" s="257"/>
      <c r="K114" s="257">
        <f t="shared" si="3"/>
        <v>-30000</v>
      </c>
      <c r="M114" s="262">
        <v>0</v>
      </c>
      <c r="N114" s="262"/>
      <c r="O114" s="262"/>
      <c r="P114" s="262">
        <f t="shared" si="4"/>
        <v>0</v>
      </c>
    </row>
    <row r="115" spans="1:16" ht="12.75">
      <c r="A115" s="103" t="s">
        <v>188</v>
      </c>
      <c r="B115" s="103"/>
      <c r="C115" s="267"/>
      <c r="D115" s="267"/>
      <c r="E115" s="252"/>
      <c r="F115" s="267">
        <f t="shared" si="5"/>
        <v>0</v>
      </c>
      <c r="G115" s="103"/>
      <c r="H115" s="257"/>
      <c r="I115" s="257"/>
      <c r="J115" s="257"/>
      <c r="K115" s="257">
        <f t="shared" si="3"/>
        <v>0</v>
      </c>
      <c r="M115" s="262">
        <v>3500</v>
      </c>
      <c r="N115" s="262"/>
      <c r="O115" s="262"/>
      <c r="P115" s="262">
        <f t="shared" si="4"/>
        <v>3500</v>
      </c>
    </row>
    <row r="116" spans="1:16" ht="12.75">
      <c r="A116" s="103" t="s">
        <v>45</v>
      </c>
      <c r="B116" s="103"/>
      <c r="C116" s="267">
        <v>0</v>
      </c>
      <c r="D116" s="267"/>
      <c r="E116" s="252"/>
      <c r="F116" s="267">
        <f t="shared" si="5"/>
        <v>0</v>
      </c>
      <c r="G116" s="103"/>
      <c r="H116" s="257">
        <v>14829.42</v>
      </c>
      <c r="I116" s="257"/>
      <c r="J116" s="257"/>
      <c r="K116" s="257">
        <f t="shared" si="3"/>
        <v>14829.42</v>
      </c>
      <c r="M116" s="262">
        <v>0</v>
      </c>
      <c r="N116" s="262"/>
      <c r="O116" s="262"/>
      <c r="P116" s="262">
        <f t="shared" si="4"/>
        <v>0</v>
      </c>
    </row>
    <row r="117" spans="1:16" ht="12.75">
      <c r="A117" s="103" t="s">
        <v>46</v>
      </c>
      <c r="B117" s="300" t="s">
        <v>214</v>
      </c>
      <c r="C117" s="267">
        <v>120000</v>
      </c>
      <c r="D117" s="267"/>
      <c r="E117" s="252"/>
      <c r="F117" s="267">
        <f t="shared" si="5"/>
        <v>120000</v>
      </c>
      <c r="G117" s="103"/>
      <c r="H117" s="257">
        <v>100000</v>
      </c>
      <c r="I117" s="257"/>
      <c r="J117" s="257"/>
      <c r="K117" s="257">
        <f t="shared" si="3"/>
        <v>100000</v>
      </c>
      <c r="M117" s="262">
        <v>80000</v>
      </c>
      <c r="N117" s="262"/>
      <c r="O117" s="262"/>
      <c r="P117" s="262">
        <f t="shared" si="4"/>
        <v>80000</v>
      </c>
    </row>
    <row r="118" spans="1:16" ht="12.75">
      <c r="A118" s="103" t="s">
        <v>47</v>
      </c>
      <c r="B118" s="300" t="s">
        <v>214</v>
      </c>
      <c r="C118" s="267">
        <v>180232.68</v>
      </c>
      <c r="D118" s="267"/>
      <c r="E118" s="252"/>
      <c r="F118" s="267">
        <f t="shared" si="5"/>
        <v>180232.68</v>
      </c>
      <c r="G118" s="103"/>
      <c r="H118" s="257">
        <v>28848.05</v>
      </c>
      <c r="I118" s="257"/>
      <c r="J118" s="257"/>
      <c r="K118" s="257">
        <f t="shared" si="3"/>
        <v>28848.05</v>
      </c>
      <c r="M118" s="262">
        <v>0</v>
      </c>
      <c r="N118" s="262"/>
      <c r="O118" s="262"/>
      <c r="P118" s="262">
        <f t="shared" si="4"/>
        <v>0</v>
      </c>
    </row>
    <row r="119" spans="1:16" ht="12.75">
      <c r="A119" s="103" t="s">
        <v>48</v>
      </c>
      <c r="B119" s="103"/>
      <c r="C119" s="267">
        <v>812.85</v>
      </c>
      <c r="D119" s="267"/>
      <c r="E119" s="252"/>
      <c r="F119" s="267">
        <f t="shared" si="5"/>
        <v>812.85</v>
      </c>
      <c r="G119" s="103"/>
      <c r="H119" s="257">
        <v>778.16</v>
      </c>
      <c r="I119" s="257"/>
      <c r="J119" s="257"/>
      <c r="K119" s="257">
        <f t="shared" si="3"/>
        <v>778.16</v>
      </c>
      <c r="M119" s="262">
        <v>1849.03</v>
      </c>
      <c r="N119" s="262"/>
      <c r="O119" s="262"/>
      <c r="P119" s="262">
        <f t="shared" si="4"/>
        <v>1849.03</v>
      </c>
    </row>
    <row r="120" spans="1:16" ht="12.75">
      <c r="A120" s="103" t="s">
        <v>50</v>
      </c>
      <c r="B120" s="103"/>
      <c r="C120" s="267">
        <v>1275</v>
      </c>
      <c r="D120" s="267"/>
      <c r="E120" s="252"/>
      <c r="F120" s="267">
        <f t="shared" si="5"/>
        <v>1275</v>
      </c>
      <c r="G120" s="103"/>
      <c r="H120" s="257"/>
      <c r="I120" s="257"/>
      <c r="J120" s="257"/>
      <c r="K120" s="257">
        <f t="shared" si="3"/>
        <v>0</v>
      </c>
      <c r="M120" s="262">
        <v>400</v>
      </c>
      <c r="N120" s="262"/>
      <c r="O120" s="262"/>
      <c r="P120" s="262">
        <f t="shared" si="4"/>
        <v>400</v>
      </c>
    </row>
    <row r="121" spans="1:16" ht="12.75">
      <c r="A121" s="103" t="s">
        <v>89</v>
      </c>
      <c r="B121" s="103"/>
      <c r="C121" s="267">
        <v>39263.08</v>
      </c>
      <c r="D121" s="267"/>
      <c r="E121" s="252"/>
      <c r="F121" s="267">
        <f t="shared" si="5"/>
        <v>39263.08</v>
      </c>
      <c r="G121" s="103"/>
      <c r="H121" s="257"/>
      <c r="I121" s="257"/>
      <c r="J121" s="257"/>
      <c r="K121" s="257">
        <f t="shared" si="3"/>
        <v>0</v>
      </c>
      <c r="M121" s="262">
        <v>0</v>
      </c>
      <c r="N121" s="262"/>
      <c r="O121" s="262"/>
      <c r="P121" s="262">
        <f t="shared" si="4"/>
        <v>0</v>
      </c>
    </row>
    <row r="122" spans="1:16" ht="12.75">
      <c r="A122" s="103" t="s">
        <v>51</v>
      </c>
      <c r="B122" s="103"/>
      <c r="C122" s="267">
        <v>11527.5</v>
      </c>
      <c r="D122" s="267"/>
      <c r="E122" s="252"/>
      <c r="F122" s="267">
        <f t="shared" si="5"/>
        <v>11527.5</v>
      </c>
      <c r="G122" s="103"/>
      <c r="H122" s="257">
        <v>3160.39</v>
      </c>
      <c r="I122" s="257"/>
      <c r="J122" s="257"/>
      <c r="K122" s="257">
        <f t="shared" si="3"/>
        <v>3160.39</v>
      </c>
      <c r="M122" s="262">
        <v>4100</v>
      </c>
      <c r="N122" s="262"/>
      <c r="O122" s="262"/>
      <c r="P122" s="262">
        <f t="shared" si="4"/>
        <v>4100</v>
      </c>
    </row>
    <row r="123" spans="1:16" ht="12.75">
      <c r="A123" s="103" t="s">
        <v>52</v>
      </c>
      <c r="B123" s="103"/>
      <c r="C123" s="267">
        <v>1652.95</v>
      </c>
      <c r="D123" s="267"/>
      <c r="E123" s="252"/>
      <c r="F123" s="267">
        <f t="shared" si="5"/>
        <v>1652.95</v>
      </c>
      <c r="G123" s="103"/>
      <c r="H123" s="257"/>
      <c r="I123" s="257"/>
      <c r="J123" s="257"/>
      <c r="K123" s="257">
        <f t="shared" si="3"/>
        <v>0</v>
      </c>
      <c r="M123" s="262">
        <v>0</v>
      </c>
      <c r="N123" s="262"/>
      <c r="O123" s="262"/>
      <c r="P123" s="262">
        <f t="shared" si="4"/>
        <v>0</v>
      </c>
    </row>
    <row r="124" spans="1:16" ht="12.75">
      <c r="A124" s="103" t="s">
        <v>170</v>
      </c>
      <c r="B124" s="103"/>
      <c r="C124" s="267">
        <v>0</v>
      </c>
      <c r="D124" s="267"/>
      <c r="E124" s="252"/>
      <c r="F124" s="267">
        <f t="shared" si="5"/>
        <v>0</v>
      </c>
      <c r="G124" s="103"/>
      <c r="H124" s="257">
        <v>900</v>
      </c>
      <c r="I124" s="257"/>
      <c r="J124" s="257"/>
      <c r="K124" s="257">
        <f t="shared" si="3"/>
        <v>900</v>
      </c>
      <c r="M124" s="262">
        <v>100</v>
      </c>
      <c r="N124" s="262"/>
      <c r="O124" s="262"/>
      <c r="P124" s="262">
        <f t="shared" si="4"/>
        <v>100</v>
      </c>
    </row>
    <row r="125" spans="1:16" ht="12.75">
      <c r="A125" s="103" t="s">
        <v>53</v>
      </c>
      <c r="B125" s="103"/>
      <c r="C125" s="267">
        <v>2398.88</v>
      </c>
      <c r="D125" s="267"/>
      <c r="E125" s="252"/>
      <c r="F125" s="267">
        <f t="shared" si="5"/>
        <v>2398.88</v>
      </c>
      <c r="G125" s="103"/>
      <c r="H125" s="257">
        <v>2574.21</v>
      </c>
      <c r="I125" s="257"/>
      <c r="J125" s="257"/>
      <c r="K125" s="257">
        <f t="shared" si="3"/>
        <v>2574.21</v>
      </c>
      <c r="M125" s="262">
        <v>1702.81</v>
      </c>
      <c r="N125" s="262"/>
      <c r="O125" s="262"/>
      <c r="P125" s="262">
        <f t="shared" si="4"/>
        <v>1702.81</v>
      </c>
    </row>
    <row r="126" spans="1:16" ht="12.75">
      <c r="A126" s="103" t="s">
        <v>54</v>
      </c>
      <c r="B126" s="103"/>
      <c r="C126" s="267">
        <v>3721.01</v>
      </c>
      <c r="D126" s="267"/>
      <c r="E126" s="252"/>
      <c r="F126" s="267">
        <f t="shared" si="5"/>
        <v>3721.01</v>
      </c>
      <c r="G126" s="103"/>
      <c r="H126" s="257">
        <v>5736.64</v>
      </c>
      <c r="I126" s="257"/>
      <c r="J126" s="257"/>
      <c r="K126" s="257">
        <f t="shared" si="3"/>
        <v>5736.64</v>
      </c>
      <c r="M126" s="262">
        <v>4297</v>
      </c>
      <c r="N126" s="262"/>
      <c r="O126" s="262"/>
      <c r="P126" s="262">
        <f t="shared" si="4"/>
        <v>4297</v>
      </c>
    </row>
    <row r="127" spans="1:16" ht="12.75">
      <c r="A127" s="103" t="s">
        <v>55</v>
      </c>
      <c r="B127" s="103"/>
      <c r="C127" s="267">
        <v>8524.13</v>
      </c>
      <c r="D127" s="267"/>
      <c r="E127" s="252"/>
      <c r="F127" s="267">
        <f t="shared" si="5"/>
        <v>8524.13</v>
      </c>
      <c r="G127" s="103"/>
      <c r="H127" s="257"/>
      <c r="I127" s="257"/>
      <c r="J127" s="257"/>
      <c r="K127" s="257">
        <f t="shared" si="3"/>
        <v>0</v>
      </c>
      <c r="M127" s="262">
        <v>3900</v>
      </c>
      <c r="N127" s="262"/>
      <c r="O127" s="262"/>
      <c r="P127" s="262">
        <f t="shared" si="4"/>
        <v>3900</v>
      </c>
    </row>
    <row r="128" spans="1:16" ht="12.75">
      <c r="A128" s="103" t="s">
        <v>87</v>
      </c>
      <c r="B128" s="103"/>
      <c r="C128" s="267">
        <v>1785.99</v>
      </c>
      <c r="D128" s="267"/>
      <c r="E128" s="252"/>
      <c r="F128" s="267">
        <f t="shared" si="5"/>
        <v>1785.99</v>
      </c>
      <c r="G128" s="103"/>
      <c r="H128" s="257">
        <v>2834.25</v>
      </c>
      <c r="I128" s="257"/>
      <c r="J128" s="257"/>
      <c r="K128" s="257">
        <f t="shared" si="3"/>
        <v>2834.25</v>
      </c>
      <c r="M128" s="262">
        <v>3563.58</v>
      </c>
      <c r="N128" s="262"/>
      <c r="O128" s="262"/>
      <c r="P128" s="262">
        <f t="shared" si="4"/>
        <v>3563.58</v>
      </c>
    </row>
    <row r="129" spans="1:16" ht="12.75">
      <c r="A129" s="103" t="s">
        <v>56</v>
      </c>
      <c r="B129" s="103"/>
      <c r="C129" s="267">
        <v>7610.6</v>
      </c>
      <c r="D129" s="267"/>
      <c r="E129" s="252"/>
      <c r="F129" s="267">
        <f t="shared" si="5"/>
        <v>7610.6</v>
      </c>
      <c r="G129" s="103"/>
      <c r="H129" s="257">
        <v>3492.65</v>
      </c>
      <c r="I129" s="257"/>
      <c r="J129" s="257"/>
      <c r="K129" s="257">
        <f t="shared" si="3"/>
        <v>3492.65</v>
      </c>
      <c r="M129" s="262">
        <v>6815.18</v>
      </c>
      <c r="N129" s="262"/>
      <c r="O129" s="262"/>
      <c r="P129" s="262">
        <f t="shared" si="4"/>
        <v>6815.18</v>
      </c>
    </row>
    <row r="130" spans="1:16" ht="12.75">
      <c r="A130" s="103" t="s">
        <v>57</v>
      </c>
      <c r="B130" s="103"/>
      <c r="C130" s="267">
        <v>2038.19</v>
      </c>
      <c r="D130" s="267"/>
      <c r="E130" s="252"/>
      <c r="F130" s="267">
        <f t="shared" si="5"/>
        <v>2038.19</v>
      </c>
      <c r="G130" s="103"/>
      <c r="H130" s="257">
        <v>827.38</v>
      </c>
      <c r="I130" s="257"/>
      <c r="J130" s="257"/>
      <c r="K130" s="257">
        <f t="shared" si="3"/>
        <v>827.38</v>
      </c>
      <c r="M130" s="262"/>
      <c r="N130" s="262"/>
      <c r="O130" s="262"/>
      <c r="P130" s="262">
        <f t="shared" si="4"/>
        <v>0</v>
      </c>
    </row>
    <row r="131" spans="1:16" ht="12.75">
      <c r="A131" s="102" t="s">
        <v>66</v>
      </c>
      <c r="B131" s="102"/>
      <c r="C131" s="267"/>
      <c r="D131" s="267"/>
      <c r="E131" s="252"/>
      <c r="F131" s="267">
        <f t="shared" si="5"/>
        <v>0</v>
      </c>
      <c r="G131" s="103"/>
      <c r="H131" s="257"/>
      <c r="I131" s="257"/>
      <c r="J131" s="257"/>
      <c r="K131" s="257">
        <f t="shared" si="3"/>
        <v>0</v>
      </c>
      <c r="M131" s="262">
        <v>347.37</v>
      </c>
      <c r="N131" s="262"/>
      <c r="O131" s="262"/>
      <c r="P131" s="262">
        <f t="shared" si="4"/>
        <v>347.37</v>
      </c>
    </row>
    <row r="132" spans="1:16" ht="12.75">
      <c r="A132" s="103" t="s">
        <v>86</v>
      </c>
      <c r="B132" s="103"/>
      <c r="C132" s="267">
        <v>9402.52</v>
      </c>
      <c r="D132" s="267"/>
      <c r="E132" s="252"/>
      <c r="F132" s="267">
        <f t="shared" si="5"/>
        <v>9402.52</v>
      </c>
      <c r="G132" s="103"/>
      <c r="H132" s="257">
        <v>5512.11</v>
      </c>
      <c r="I132" s="257"/>
      <c r="J132" s="257"/>
      <c r="K132" s="257">
        <f t="shared" si="3"/>
        <v>5512.11</v>
      </c>
      <c r="M132" s="262">
        <v>250</v>
      </c>
      <c r="N132" s="262"/>
      <c r="O132" s="262"/>
      <c r="P132" s="262">
        <f t="shared" si="4"/>
        <v>250</v>
      </c>
    </row>
    <row r="133" spans="1:16" ht="12.75">
      <c r="A133" s="103" t="s">
        <v>65</v>
      </c>
      <c r="B133" s="103"/>
      <c r="C133" s="267">
        <v>27482</v>
      </c>
      <c r="D133" s="267"/>
      <c r="E133" s="252"/>
      <c r="F133" s="267">
        <f t="shared" si="5"/>
        <v>27482</v>
      </c>
      <c r="G133" s="103"/>
      <c r="H133" s="257">
        <v>6854.64</v>
      </c>
      <c r="I133" s="257"/>
      <c r="J133" s="257"/>
      <c r="K133" s="257">
        <f t="shared" si="3"/>
        <v>6854.64</v>
      </c>
      <c r="M133" s="262">
        <v>32861.76</v>
      </c>
      <c r="N133" s="262"/>
      <c r="O133" s="262"/>
      <c r="P133" s="262">
        <f t="shared" si="4"/>
        <v>32861.76</v>
      </c>
    </row>
    <row r="134" spans="1:16" ht="12.75">
      <c r="A134" s="103" t="s">
        <v>64</v>
      </c>
      <c r="B134" s="103"/>
      <c r="C134" s="267">
        <v>17648.57</v>
      </c>
      <c r="D134" s="267"/>
      <c r="E134" s="252"/>
      <c r="F134" s="267">
        <f t="shared" si="5"/>
        <v>17648.57</v>
      </c>
      <c r="G134" s="103"/>
      <c r="H134" s="257">
        <v>5291.37</v>
      </c>
      <c r="I134" s="257"/>
      <c r="J134" s="257"/>
      <c r="K134" s="257">
        <f t="shared" si="3"/>
        <v>5291.37</v>
      </c>
      <c r="M134" s="262">
        <v>13391.21</v>
      </c>
      <c r="N134" s="262"/>
      <c r="O134" s="262"/>
      <c r="P134" s="262">
        <f aca="true" t="shared" si="6" ref="P134:P141">M134+O134</f>
        <v>13391.21</v>
      </c>
    </row>
    <row r="135" spans="1:16" ht="12.75">
      <c r="A135" s="103" t="s">
        <v>63</v>
      </c>
      <c r="B135" s="103"/>
      <c r="C135" s="267">
        <v>10181.14</v>
      </c>
      <c r="D135" s="267"/>
      <c r="E135" s="252"/>
      <c r="F135" s="267">
        <f t="shared" si="5"/>
        <v>10181.14</v>
      </c>
      <c r="G135" s="103"/>
      <c r="H135" s="257">
        <v>3982.07</v>
      </c>
      <c r="I135" s="257"/>
      <c r="J135" s="257"/>
      <c r="K135" s="257">
        <f aca="true" t="shared" si="7" ref="K135:K141">H135+J135</f>
        <v>3982.07</v>
      </c>
      <c r="M135" s="262">
        <v>7193.78</v>
      </c>
      <c r="N135" s="262"/>
      <c r="O135" s="262"/>
      <c r="P135" s="262">
        <f t="shared" si="6"/>
        <v>7193.78</v>
      </c>
    </row>
    <row r="136" spans="1:16" ht="12.75">
      <c r="A136" s="103" t="s">
        <v>62</v>
      </c>
      <c r="B136" s="103"/>
      <c r="C136" s="267">
        <v>142.88</v>
      </c>
      <c r="D136" s="267"/>
      <c r="E136" s="252"/>
      <c r="F136" s="267">
        <f aca="true" t="shared" si="8" ref="F136:F142">C136+E136</f>
        <v>142.88</v>
      </c>
      <c r="G136" s="103"/>
      <c r="H136" s="257"/>
      <c r="I136" s="257"/>
      <c r="J136" s="257"/>
      <c r="K136" s="257">
        <f t="shared" si="7"/>
        <v>0</v>
      </c>
      <c r="M136" s="262">
        <v>947.85</v>
      </c>
      <c r="N136" s="262"/>
      <c r="O136" s="262"/>
      <c r="P136" s="262">
        <f t="shared" si="6"/>
        <v>947.85</v>
      </c>
    </row>
    <row r="137" spans="1:16" ht="12.75">
      <c r="A137" s="103" t="s">
        <v>58</v>
      </c>
      <c r="B137" s="103"/>
      <c r="C137" s="267">
        <v>3830.04</v>
      </c>
      <c r="D137" s="267"/>
      <c r="E137" s="252"/>
      <c r="F137" s="267">
        <f t="shared" si="8"/>
        <v>3830.04</v>
      </c>
      <c r="G137" s="103"/>
      <c r="H137" s="257">
        <v>1160.97</v>
      </c>
      <c r="I137" s="257"/>
      <c r="J137" s="257"/>
      <c r="K137" s="257">
        <f t="shared" si="7"/>
        <v>1160.97</v>
      </c>
      <c r="M137" s="262">
        <v>3072.26</v>
      </c>
      <c r="N137" s="262"/>
      <c r="O137" s="262"/>
      <c r="P137" s="262">
        <f t="shared" si="6"/>
        <v>3072.26</v>
      </c>
    </row>
    <row r="138" spans="1:16" ht="12.75">
      <c r="A138" s="103" t="s">
        <v>59</v>
      </c>
      <c r="B138" s="103"/>
      <c r="C138" s="267">
        <v>0</v>
      </c>
      <c r="D138" s="267"/>
      <c r="E138" s="252"/>
      <c r="F138" s="267">
        <f t="shared" si="8"/>
        <v>0</v>
      </c>
      <c r="G138" s="103"/>
      <c r="H138" s="257">
        <v>419.17</v>
      </c>
      <c r="I138" s="257"/>
      <c r="J138" s="257"/>
      <c r="K138" s="257">
        <f t="shared" si="7"/>
        <v>419.17</v>
      </c>
      <c r="M138" s="262">
        <v>173.83</v>
      </c>
      <c r="N138" s="262"/>
      <c r="O138" s="262"/>
      <c r="P138" s="262">
        <f t="shared" si="6"/>
        <v>173.83</v>
      </c>
    </row>
    <row r="139" spans="1:16" ht="12.75">
      <c r="A139" s="103" t="s">
        <v>171</v>
      </c>
      <c r="B139" s="103"/>
      <c r="C139" s="267">
        <v>0</v>
      </c>
      <c r="D139" s="267"/>
      <c r="E139" s="252"/>
      <c r="F139" s="267">
        <f t="shared" si="8"/>
        <v>0</v>
      </c>
      <c r="G139" s="103"/>
      <c r="H139" s="257">
        <v>-178000</v>
      </c>
      <c r="I139" s="257"/>
      <c r="J139" s="257"/>
      <c r="K139" s="257">
        <f t="shared" si="7"/>
        <v>-178000</v>
      </c>
      <c r="M139" s="262">
        <v>-50000</v>
      </c>
      <c r="N139" s="262"/>
      <c r="O139" s="262"/>
      <c r="P139" s="262">
        <f t="shared" si="6"/>
        <v>-50000</v>
      </c>
    </row>
    <row r="140" spans="1:16" ht="12.75">
      <c r="A140" s="103" t="s">
        <v>61</v>
      </c>
      <c r="B140" s="103"/>
      <c r="C140" s="267">
        <v>-4176.75</v>
      </c>
      <c r="D140" s="267"/>
      <c r="E140" s="252"/>
      <c r="F140" s="267">
        <f t="shared" si="8"/>
        <v>-4176.75</v>
      </c>
      <c r="G140" s="103"/>
      <c r="H140" s="257">
        <v>-1453.22</v>
      </c>
      <c r="I140" s="257"/>
      <c r="J140" s="257"/>
      <c r="K140" s="257">
        <f t="shared" si="7"/>
        <v>-1453.22</v>
      </c>
      <c r="M140" s="262">
        <v>-501.1</v>
      </c>
      <c r="N140" s="262"/>
      <c r="O140" s="262"/>
      <c r="P140" s="262">
        <f t="shared" si="6"/>
        <v>-501.1</v>
      </c>
    </row>
    <row r="141" spans="1:16" ht="12.75">
      <c r="A141" s="103" t="s">
        <v>85</v>
      </c>
      <c r="B141" s="103"/>
      <c r="C141" s="267">
        <v>-15671.67</v>
      </c>
      <c r="D141" s="267"/>
      <c r="E141" s="252"/>
      <c r="F141" s="267">
        <f t="shared" si="8"/>
        <v>-15671.67</v>
      </c>
      <c r="G141" s="103"/>
      <c r="H141" s="257">
        <v>0</v>
      </c>
      <c r="I141" s="257"/>
      <c r="J141" s="257"/>
      <c r="K141" s="257">
        <f t="shared" si="7"/>
        <v>0</v>
      </c>
      <c r="M141" s="262"/>
      <c r="N141" s="262"/>
      <c r="O141" s="262"/>
      <c r="P141" s="262">
        <f t="shared" si="6"/>
        <v>0</v>
      </c>
    </row>
    <row r="142" spans="1:16" ht="12.75">
      <c r="A142" s="103" t="s">
        <v>34</v>
      </c>
      <c r="B142" s="103"/>
      <c r="C142" s="268">
        <v>81894.17</v>
      </c>
      <c r="D142" s="268"/>
      <c r="E142" s="253"/>
      <c r="F142" s="268">
        <f t="shared" si="8"/>
        <v>81894.17</v>
      </c>
      <c r="G142" s="103"/>
      <c r="H142" s="258">
        <v>93298.39</v>
      </c>
      <c r="I142" s="312" t="s">
        <v>221</v>
      </c>
      <c r="J142" s="312">
        <f>-J40</f>
        <v>8538.75</v>
      </c>
      <c r="K142" s="258">
        <f>H142+J142</f>
        <v>101837.14</v>
      </c>
      <c r="M142" s="263">
        <v>61648.09</v>
      </c>
      <c r="N142" s="319" t="s">
        <v>227</v>
      </c>
      <c r="O142" s="319">
        <f>-O40</f>
        <v>28392.58</v>
      </c>
      <c r="P142" s="263">
        <f>M142+O142</f>
        <v>90040.67</v>
      </c>
    </row>
    <row r="143" spans="3:16" ht="12.75">
      <c r="C143" s="270">
        <f>SUM(C70:C142)</f>
        <v>2530588.77</v>
      </c>
      <c r="E143" s="255">
        <f>SUM(E70:E142)</f>
        <v>1128203</v>
      </c>
      <c r="F143" s="270">
        <f>SUM(F70:F142)</f>
        <v>3658791.77</v>
      </c>
      <c r="H143" s="260">
        <f>SUM(H70:H142)</f>
        <v>1064529.0199999996</v>
      </c>
      <c r="J143" s="260">
        <f>SUM(J70:J142)</f>
        <v>-116326.25</v>
      </c>
      <c r="K143" s="260">
        <f>H143+J143</f>
        <v>948202.7699999996</v>
      </c>
      <c r="M143" s="265">
        <f>SUM(M70:M142)</f>
        <v>845607.9600000001</v>
      </c>
      <c r="O143" s="265">
        <f>SUM(O70:O142)</f>
        <v>-432534.42</v>
      </c>
      <c r="P143" s="265">
        <f>M143+O143</f>
        <v>413073.5400000001</v>
      </c>
    </row>
  </sheetData>
  <sheetProtection/>
  <hyperlinks>
    <hyperlink ref="B35" r:id="rId1" display="\\bdo.com\DAL\data\groups\Shared Clients\Audit\Active\Inprocess\Grand Central Silver Mines\PBC Downloaded-2007-2010 audits\Accrued_Professional_Fees_Skip_Headen.xlsx#Sheet1!S16"/>
    <hyperlink ref="G35" r:id="rId2" display="\\bdo.com\DAL\data\groups\Shared Clients\Audit\Active\Inprocess\Grand Central Silver Mines\PBC Downloaded-2007-2010 audits\Accrued_Professional_Fees_Skip_Headen.xlsx#Sheet1!S22"/>
    <hyperlink ref="L35" r:id="rId3" display="\\bdo.com\DAL\data\groups\Shared Clients\Audit\Active\Inprocess\Grand Central Silver Mines\PBC Downloaded-2007-2010 audits\Accrued_Professional_Fees_Skip_Headen.xlsx#Sheet1!S24"/>
    <hyperlink ref="Q35" r:id="rId4" display="\\bdo.com\DAL\data\groups\Shared Clients\Audit\Active\Inprocess\Grand Central Silver Mines\GCSM 9-30-07 Audit--live\HH-5 Accrued_Professional_Fees_Skip_Headen.xlsx#'HH-5'!S26"/>
    <hyperlink ref="B34" r:id="rId5" display="\\bdo.com\DAL\data\groups\Shared Clients\Audit\Active\Inprocess\Grand Central Silver Mines\PBC Downloaded-2007-2010 audits\Accrued_Professional_Fees_Skip_Headen.xlsx#Sheet1!S16"/>
    <hyperlink ref="G34" r:id="rId6" display="\\bdo.com\DAL\data\groups\Shared Clients\Audit\Active\Inprocess\Grand Central Silver Mines\PBC Downloaded-2007-2010 audits\Accrued_Professional_Fees_Skip_Headen.xlsx#Sheet1!S22"/>
  </hyperlinks>
  <printOptions/>
  <pageMargins left="0.7" right="0.7" top="0.75" bottom="0.75" header="0.3" footer="0.3"/>
  <pageSetup horizontalDpi="1200" verticalDpi="1200" orientation="portrait" r:id="rId9"/>
  <legacy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7"/>
  <sheetViews>
    <sheetView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N26" sqref="AN26"/>
    </sheetView>
  </sheetViews>
  <sheetFormatPr defaultColWidth="9.140625" defaultRowHeight="12.75"/>
  <cols>
    <col min="1" max="1" width="64.28125" style="5" bestFit="1" customWidth="1"/>
    <col min="2" max="2" width="9.421875" style="5" customWidth="1"/>
    <col min="3" max="3" width="17.28125" style="5" customWidth="1"/>
    <col min="4" max="4" width="9.140625" style="14" bestFit="1" customWidth="1"/>
    <col min="5" max="5" width="17.28125" style="5" customWidth="1"/>
    <col min="6" max="6" width="17.140625" style="5" customWidth="1"/>
    <col min="7" max="7" width="10.57421875" style="5" customWidth="1"/>
    <col min="8" max="8" width="10.28125" style="10" customWidth="1"/>
    <col min="9" max="9" width="17.00390625" style="156" bestFit="1" customWidth="1"/>
    <col min="10" max="10" width="9.140625" style="156" bestFit="1" customWidth="1"/>
    <col min="11" max="11" width="15.57421875" style="156" customWidth="1"/>
    <col min="12" max="12" width="16.140625" style="156" customWidth="1"/>
    <col min="13" max="13" width="3.8515625" style="6" customWidth="1"/>
    <col min="14" max="14" width="5.28125" style="6" customWidth="1"/>
    <col min="15" max="15" width="17.140625" style="104" bestFit="1" customWidth="1"/>
    <col min="16" max="16" width="2.28125" style="104" customWidth="1"/>
    <col min="17" max="18" width="14.421875" style="104" customWidth="1"/>
    <col min="19" max="19" width="3.8515625" style="6" hidden="1" customWidth="1"/>
    <col min="20" max="20" width="17.00390625" style="6" hidden="1" customWidth="1"/>
    <col min="21" max="21" width="9.140625" style="5" hidden="1" customWidth="1"/>
    <col min="22" max="22" width="14.28125" style="5" hidden="1" customWidth="1"/>
    <col min="23" max="23" width="17.00390625" style="5" hidden="1" customWidth="1"/>
    <col min="24" max="24" width="9.140625" style="5" hidden="1" customWidth="1"/>
    <col min="25" max="25" width="0" style="5" hidden="1" customWidth="1"/>
    <col min="26" max="26" width="5.7109375" style="5" customWidth="1"/>
    <col min="27" max="27" width="17.140625" style="128" bestFit="1" customWidth="1"/>
    <col min="28" max="28" width="3.28125" style="129" customWidth="1"/>
    <col min="29" max="30" width="14.421875" style="128" customWidth="1"/>
    <col min="31" max="16384" width="9.140625" style="5" customWidth="1"/>
  </cols>
  <sheetData>
    <row r="1" spans="1:8" ht="16.5">
      <c r="A1" s="26" t="s">
        <v>110</v>
      </c>
      <c r="B1" s="16"/>
      <c r="C1" s="27"/>
      <c r="D1" s="30"/>
      <c r="E1" s="35"/>
      <c r="F1" s="38"/>
      <c r="G1" s="41"/>
      <c r="H1" s="48"/>
    </row>
    <row r="2" spans="1:7" ht="16.5">
      <c r="A2" s="26" t="s">
        <v>124</v>
      </c>
      <c r="B2" s="18"/>
      <c r="C2" s="28"/>
      <c r="D2" s="31"/>
      <c r="E2" s="36"/>
      <c r="F2" s="39"/>
      <c r="G2" s="43"/>
    </row>
    <row r="3" spans="1:7" ht="16.5">
      <c r="A3" s="26" t="s">
        <v>151</v>
      </c>
      <c r="B3" s="19"/>
      <c r="C3" s="29"/>
      <c r="D3" s="32"/>
      <c r="E3" s="37"/>
      <c r="F3" s="40"/>
      <c r="G3" s="45"/>
    </row>
    <row r="4" ht="15">
      <c r="B4" s="33" t="s">
        <v>126</v>
      </c>
    </row>
    <row r="6" spans="1:30" ht="33">
      <c r="A6" s="1" t="s">
        <v>95</v>
      </c>
      <c r="B6" s="7"/>
      <c r="C6" s="213">
        <v>39721</v>
      </c>
      <c r="D6" s="214"/>
      <c r="E6" s="215" t="s">
        <v>96</v>
      </c>
      <c r="F6" s="216" t="s">
        <v>152</v>
      </c>
      <c r="G6" s="12"/>
      <c r="H6" s="17"/>
      <c r="I6" s="157">
        <v>40086</v>
      </c>
      <c r="J6" s="157"/>
      <c r="K6" s="158" t="s">
        <v>96</v>
      </c>
      <c r="L6" s="159" t="s">
        <v>153</v>
      </c>
      <c r="M6" s="42"/>
      <c r="N6" s="2"/>
      <c r="O6" s="106">
        <v>40451</v>
      </c>
      <c r="P6" s="106"/>
      <c r="Q6" s="107" t="s">
        <v>96</v>
      </c>
      <c r="R6" s="108" t="s">
        <v>154</v>
      </c>
      <c r="S6" s="2"/>
      <c r="T6" s="3">
        <v>39355</v>
      </c>
      <c r="V6" s="4" t="s">
        <v>96</v>
      </c>
      <c r="W6" s="12" t="s">
        <v>104</v>
      </c>
      <c r="AA6" s="130">
        <v>40816</v>
      </c>
      <c r="AB6" s="130"/>
      <c r="AC6" s="131" t="s">
        <v>96</v>
      </c>
      <c r="AD6" s="132" t="s">
        <v>196</v>
      </c>
    </row>
    <row r="7" spans="1:30" s="49" customFormat="1" ht="15">
      <c r="A7" s="49" t="s">
        <v>0</v>
      </c>
      <c r="C7" s="217">
        <v>124984.43</v>
      </c>
      <c r="D7" s="218"/>
      <c r="E7" s="219"/>
      <c r="F7" s="220">
        <f>C7+E7</f>
        <v>124984.43</v>
      </c>
      <c r="G7" s="52" t="s">
        <v>106</v>
      </c>
      <c r="H7" s="53"/>
      <c r="I7" s="156"/>
      <c r="J7" s="160"/>
      <c r="K7" s="161">
        <f>4258+258</f>
        <v>4516</v>
      </c>
      <c r="L7" s="162">
        <f>I7+K7</f>
        <v>4516</v>
      </c>
      <c r="M7" s="52"/>
      <c r="N7" s="55"/>
      <c r="O7" s="104">
        <v>158722.07</v>
      </c>
      <c r="P7" s="192"/>
      <c r="Q7" s="109"/>
      <c r="R7" s="110">
        <f>O7+Q7</f>
        <v>158722.07</v>
      </c>
      <c r="S7" s="53"/>
      <c r="T7" s="54">
        <v>277782.36</v>
      </c>
      <c r="U7" s="56"/>
      <c r="V7" s="51">
        <v>4516</v>
      </c>
      <c r="W7" s="50">
        <f>T7+V7</f>
        <v>282298.36</v>
      </c>
      <c r="AA7" s="128">
        <v>224932.48</v>
      </c>
      <c r="AB7" s="129"/>
      <c r="AC7" s="133"/>
      <c r="AD7" s="134">
        <f>AA7+AC7</f>
        <v>224932.48</v>
      </c>
    </row>
    <row r="8" spans="1:30" s="49" customFormat="1" ht="15">
      <c r="A8" s="49" t="s">
        <v>83</v>
      </c>
      <c r="C8" s="217">
        <v>55</v>
      </c>
      <c r="D8" s="221"/>
      <c r="E8" s="220"/>
      <c r="F8" s="220">
        <f>C8+E8</f>
        <v>55</v>
      </c>
      <c r="G8" s="50"/>
      <c r="H8" s="58"/>
      <c r="I8" s="163">
        <v>0</v>
      </c>
      <c r="J8" s="163"/>
      <c r="K8" s="162"/>
      <c r="L8" s="162">
        <f>I8+K8</f>
        <v>0</v>
      </c>
      <c r="M8" s="50"/>
      <c r="N8" s="60"/>
      <c r="O8" s="111">
        <v>25</v>
      </c>
      <c r="P8" s="111"/>
      <c r="Q8" s="110"/>
      <c r="R8" s="110">
        <f>O8+Q8</f>
        <v>25</v>
      </c>
      <c r="S8" s="62"/>
      <c r="T8" s="61">
        <v>25</v>
      </c>
      <c r="V8" s="50"/>
      <c r="W8" s="50">
        <f>T8+V8</f>
        <v>25</v>
      </c>
      <c r="AA8" s="135">
        <v>55</v>
      </c>
      <c r="AB8" s="129"/>
      <c r="AC8" s="134"/>
      <c r="AD8" s="134">
        <f>AA8+AC8</f>
        <v>55</v>
      </c>
    </row>
    <row r="9" spans="1:30" s="49" customFormat="1" ht="15">
      <c r="A9" s="49" t="s">
        <v>84</v>
      </c>
      <c r="C9" s="217">
        <v>25076.36</v>
      </c>
      <c r="D9" s="221"/>
      <c r="E9" s="222"/>
      <c r="F9" s="222">
        <f>C9+E9</f>
        <v>25076.36</v>
      </c>
      <c r="G9" s="57"/>
      <c r="H9" s="58"/>
      <c r="I9" s="164">
        <v>0</v>
      </c>
      <c r="J9" s="163"/>
      <c r="K9" s="165"/>
      <c r="L9" s="165">
        <f>I9+K9</f>
        <v>0</v>
      </c>
      <c r="M9" s="57"/>
      <c r="N9" s="60"/>
      <c r="O9" s="112">
        <v>54</v>
      </c>
      <c r="P9" s="111"/>
      <c r="Q9" s="113"/>
      <c r="R9" s="113">
        <f>O9+Q9</f>
        <v>54</v>
      </c>
      <c r="S9" s="62"/>
      <c r="T9" s="65">
        <v>18</v>
      </c>
      <c r="V9" s="63"/>
      <c r="W9" s="63">
        <f>T9+V9</f>
        <v>18</v>
      </c>
      <c r="AA9" s="136">
        <v>0</v>
      </c>
      <c r="AB9" s="129"/>
      <c r="AC9" s="137"/>
      <c r="AD9" s="137">
        <f>AA9+AC9</f>
        <v>0</v>
      </c>
    </row>
    <row r="10" spans="3:30" s="49" customFormat="1" ht="16.5">
      <c r="C10" s="154">
        <f>SUM(C7:C9)</f>
        <v>150115.78999999998</v>
      </c>
      <c r="D10" s="155"/>
      <c r="E10" s="220">
        <f>SUM(E7:E9)</f>
        <v>0</v>
      </c>
      <c r="F10" s="220">
        <f>C10+E10</f>
        <v>150115.78999999998</v>
      </c>
      <c r="G10" s="50"/>
      <c r="H10" s="58"/>
      <c r="I10" s="156">
        <f>SUM(I7:I9)</f>
        <v>0</v>
      </c>
      <c r="J10" s="156"/>
      <c r="K10" s="156">
        <f>SUM(K7:K9)</f>
        <v>4516</v>
      </c>
      <c r="L10" s="162">
        <f>I10+K10</f>
        <v>4516</v>
      </c>
      <c r="M10" s="50"/>
      <c r="N10" s="54"/>
      <c r="O10" s="104">
        <f>SUM(O7:O9)</f>
        <v>158801.07</v>
      </c>
      <c r="P10" s="104"/>
      <c r="Q10" s="104">
        <f>SUM(Q7:Q9)</f>
        <v>0</v>
      </c>
      <c r="R10" s="110">
        <f>O10+Q10</f>
        <v>158801.07</v>
      </c>
      <c r="S10" s="54"/>
      <c r="T10" s="54">
        <f>SUM(T7:T9)</f>
        <v>277825.36</v>
      </c>
      <c r="V10" s="54">
        <f>SUM(V7:V9)</f>
        <v>4516</v>
      </c>
      <c r="W10" s="50">
        <f>T10+V10</f>
        <v>282341.36</v>
      </c>
      <c r="AA10" s="246">
        <f>SUM(AA7:AA9)</f>
        <v>224987.48</v>
      </c>
      <c r="AB10" s="247"/>
      <c r="AC10" s="248"/>
      <c r="AD10" s="246">
        <f>SUM(AD7:AD9)</f>
        <v>224987.48</v>
      </c>
    </row>
    <row r="11" spans="3:30" s="49" customFormat="1" ht="15">
      <c r="C11" s="220"/>
      <c r="D11" s="221"/>
      <c r="E11" s="220"/>
      <c r="F11" s="220"/>
      <c r="G11" s="50"/>
      <c r="H11" s="58"/>
      <c r="I11" s="156"/>
      <c r="J11" s="156"/>
      <c r="K11" s="162"/>
      <c r="L11" s="162"/>
      <c r="M11" s="50"/>
      <c r="N11" s="54"/>
      <c r="O11" s="104"/>
      <c r="P11" s="104"/>
      <c r="Q11" s="110"/>
      <c r="R11" s="110"/>
      <c r="S11" s="54"/>
      <c r="T11" s="54"/>
      <c r="V11" s="50"/>
      <c r="W11" s="50"/>
      <c r="AA11" s="128"/>
      <c r="AB11" s="129"/>
      <c r="AC11" s="134"/>
      <c r="AD11" s="134"/>
    </row>
    <row r="12" spans="1:30" s="49" customFormat="1" ht="15">
      <c r="A12" s="49" t="s">
        <v>1</v>
      </c>
      <c r="C12" s="220"/>
      <c r="D12" s="223"/>
      <c r="E12" s="220"/>
      <c r="F12" s="220">
        <f>C12+E12</f>
        <v>0</v>
      </c>
      <c r="G12" s="50"/>
      <c r="H12" s="67"/>
      <c r="I12" s="156"/>
      <c r="J12" s="166"/>
      <c r="K12" s="162">
        <v>-6458</v>
      </c>
      <c r="L12" s="162">
        <f>I12+K12</f>
        <v>-6458</v>
      </c>
      <c r="M12" s="50"/>
      <c r="N12" s="54"/>
      <c r="O12" s="104">
        <v>6457.79</v>
      </c>
      <c r="P12" s="193"/>
      <c r="Q12" s="110"/>
      <c r="R12" s="110">
        <f>O12+Q12</f>
        <v>6457.79</v>
      </c>
      <c r="S12" s="54"/>
      <c r="T12" s="68">
        <v>0</v>
      </c>
      <c r="V12" s="50"/>
      <c r="W12" s="50">
        <f>T12+V12</f>
        <v>0</v>
      </c>
      <c r="AA12" s="128">
        <v>0</v>
      </c>
      <c r="AB12" s="129"/>
      <c r="AC12" s="134"/>
      <c r="AD12" s="134">
        <f>AA12+AC12</f>
        <v>0</v>
      </c>
    </row>
    <row r="13" spans="1:30" s="49" customFormat="1" ht="15">
      <c r="A13" s="49" t="s">
        <v>82</v>
      </c>
      <c r="C13" s="222">
        <v>0</v>
      </c>
      <c r="D13" s="221"/>
      <c r="E13" s="222"/>
      <c r="F13" s="222">
        <f>C13+E13</f>
        <v>0</v>
      </c>
      <c r="G13" s="57"/>
      <c r="H13" s="58"/>
      <c r="I13" s="164">
        <v>0</v>
      </c>
      <c r="J13" s="163"/>
      <c r="K13" s="165"/>
      <c r="L13" s="165">
        <f>I13+K13</f>
        <v>0</v>
      </c>
      <c r="M13" s="57"/>
      <c r="N13" s="60"/>
      <c r="O13" s="112">
        <v>21380.49</v>
      </c>
      <c r="P13" s="111"/>
      <c r="Q13" s="113"/>
      <c r="R13" s="113">
        <f>O13+Q13</f>
        <v>21380.49</v>
      </c>
      <c r="S13" s="62"/>
      <c r="T13" s="65">
        <v>22577.59</v>
      </c>
      <c r="V13" s="63"/>
      <c r="W13" s="63">
        <f>T13+V13</f>
        <v>22577.59</v>
      </c>
      <c r="AA13" s="136">
        <v>26088.56</v>
      </c>
      <c r="AB13" s="129"/>
      <c r="AC13" s="137"/>
      <c r="AD13" s="137">
        <f>AA13+AC13</f>
        <v>26088.56</v>
      </c>
    </row>
    <row r="14" spans="3:30" s="49" customFormat="1" ht="16.5">
      <c r="C14" s="154">
        <f>SUM(C12:C13)</f>
        <v>0</v>
      </c>
      <c r="D14" s="155"/>
      <c r="E14" s="220">
        <f>SUM(E12:E13)</f>
        <v>0</v>
      </c>
      <c r="F14" s="220">
        <f>C14+E14</f>
        <v>0</v>
      </c>
      <c r="G14" s="50"/>
      <c r="H14" s="58"/>
      <c r="I14" s="156">
        <f>SUM(I12:I13)</f>
        <v>0</v>
      </c>
      <c r="J14" s="156"/>
      <c r="K14" s="162">
        <f>SUM(K12:K13)</f>
        <v>-6458</v>
      </c>
      <c r="L14" s="162">
        <f>I14+K14</f>
        <v>-6458</v>
      </c>
      <c r="M14" s="50"/>
      <c r="N14" s="54"/>
      <c r="O14" s="104">
        <f>SUM(O12:O13)</f>
        <v>27838.280000000002</v>
      </c>
      <c r="P14" s="104"/>
      <c r="Q14" s="110">
        <f>SUM(Q12:Q13)</f>
        <v>0</v>
      </c>
      <c r="R14" s="110">
        <f>O14+Q14</f>
        <v>27838.280000000002</v>
      </c>
      <c r="S14" s="54"/>
      <c r="T14" s="54">
        <f>SUM(T12:T13)</f>
        <v>22577.59</v>
      </c>
      <c r="V14" s="50">
        <f>SUM(V12:V13)</f>
        <v>0</v>
      </c>
      <c r="W14" s="50">
        <f>T14+V14</f>
        <v>22577.59</v>
      </c>
      <c r="AA14" s="246">
        <f>SUM(AA12:AA13)</f>
        <v>26088.56</v>
      </c>
      <c r="AB14" s="247"/>
      <c r="AC14" s="248"/>
      <c r="AD14" s="246">
        <f>AA14+AC14</f>
        <v>26088.56</v>
      </c>
    </row>
    <row r="15" spans="3:30" s="49" customFormat="1" ht="15">
      <c r="C15" s="154"/>
      <c r="D15" s="155"/>
      <c r="E15" s="220"/>
      <c r="F15" s="220"/>
      <c r="G15" s="50"/>
      <c r="H15" s="58"/>
      <c r="I15" s="156"/>
      <c r="J15" s="156"/>
      <c r="K15" s="162"/>
      <c r="L15" s="162"/>
      <c r="M15" s="50"/>
      <c r="N15" s="54"/>
      <c r="O15" s="104"/>
      <c r="P15" s="104"/>
      <c r="Q15" s="110"/>
      <c r="R15" s="110"/>
      <c r="S15" s="54"/>
      <c r="T15" s="54"/>
      <c r="V15" s="50"/>
      <c r="W15" s="50"/>
      <c r="AA15" s="128"/>
      <c r="AB15" s="129"/>
      <c r="AC15" s="134"/>
      <c r="AD15" s="134"/>
    </row>
    <row r="16" spans="1:30" s="49" customFormat="1" ht="15">
      <c r="A16" s="49" t="s">
        <v>107</v>
      </c>
      <c r="C16" s="224">
        <v>0</v>
      </c>
      <c r="D16" s="155"/>
      <c r="E16" s="222"/>
      <c r="F16" s="222">
        <f>C16+E16</f>
        <v>0</v>
      </c>
      <c r="G16" s="57"/>
      <c r="H16" s="58"/>
      <c r="I16" s="164">
        <v>0</v>
      </c>
      <c r="J16" s="167"/>
      <c r="K16" s="165"/>
      <c r="L16" s="165">
        <f>I16+K16</f>
        <v>0</v>
      </c>
      <c r="M16" s="57"/>
      <c r="N16" s="54"/>
      <c r="O16" s="114">
        <v>0</v>
      </c>
      <c r="P16" s="194"/>
      <c r="Q16" s="115"/>
      <c r="R16" s="115">
        <f>O16+Q16</f>
        <v>0</v>
      </c>
      <c r="S16" s="54"/>
      <c r="T16" s="64">
        <v>0</v>
      </c>
      <c r="U16" s="69"/>
      <c r="V16" s="57">
        <v>200000</v>
      </c>
      <c r="W16" s="57" t="e">
        <f>T16+V16+#REF!+V17</f>
        <v>#REF!</v>
      </c>
      <c r="AA16" s="138"/>
      <c r="AB16" s="129"/>
      <c r="AC16" s="139"/>
      <c r="AD16" s="139">
        <f>AA16+AC16</f>
        <v>0</v>
      </c>
    </row>
    <row r="17" spans="3:30" s="49" customFormat="1" ht="15">
      <c r="C17" s="225"/>
      <c r="D17" s="155"/>
      <c r="E17" s="221"/>
      <c r="F17" s="221"/>
      <c r="G17" s="57"/>
      <c r="H17" s="58"/>
      <c r="I17" s="163"/>
      <c r="J17" s="167"/>
      <c r="K17" s="168"/>
      <c r="L17" s="168"/>
      <c r="M17" s="57"/>
      <c r="N17" s="54"/>
      <c r="O17" s="116"/>
      <c r="P17" s="194"/>
      <c r="Q17" s="115"/>
      <c r="R17" s="115"/>
      <c r="S17" s="54"/>
      <c r="T17" s="59"/>
      <c r="U17" s="69"/>
      <c r="V17" s="57">
        <v>-63136</v>
      </c>
      <c r="W17" s="57"/>
      <c r="AA17" s="140"/>
      <c r="AB17" s="129"/>
      <c r="AC17" s="139"/>
      <c r="AD17" s="139"/>
    </row>
    <row r="18" spans="1:30" s="49" customFormat="1" ht="16.5">
      <c r="A18" s="49" t="s">
        <v>197</v>
      </c>
      <c r="C18" s="224">
        <v>0</v>
      </c>
      <c r="D18" s="155"/>
      <c r="E18" s="222">
        <v>0</v>
      </c>
      <c r="F18" s="222">
        <v>0</v>
      </c>
      <c r="G18" s="57"/>
      <c r="H18" s="58"/>
      <c r="I18" s="164">
        <v>0</v>
      </c>
      <c r="J18" s="167"/>
      <c r="K18" s="165">
        <v>0</v>
      </c>
      <c r="L18" s="165">
        <v>0</v>
      </c>
      <c r="M18" s="57"/>
      <c r="N18" s="54"/>
      <c r="O18" s="114">
        <v>0</v>
      </c>
      <c r="P18" s="194"/>
      <c r="Q18" s="115">
        <v>0</v>
      </c>
      <c r="R18" s="115"/>
      <c r="S18" s="54"/>
      <c r="T18" s="64"/>
      <c r="U18" s="69"/>
      <c r="V18" s="57"/>
      <c r="W18" s="57"/>
      <c r="AA18" s="249">
        <v>5371</v>
      </c>
      <c r="AB18" s="247"/>
      <c r="AC18" s="250"/>
      <c r="AD18" s="250">
        <f>AA18+AC18</f>
        <v>5371</v>
      </c>
    </row>
    <row r="19" spans="3:30" s="49" customFormat="1" ht="15">
      <c r="C19" s="220"/>
      <c r="D19" s="221"/>
      <c r="E19" s="220"/>
      <c r="F19" s="220"/>
      <c r="G19" s="50"/>
      <c r="H19" s="58"/>
      <c r="I19" s="156"/>
      <c r="J19" s="156"/>
      <c r="K19" s="162"/>
      <c r="L19" s="162"/>
      <c r="M19" s="50"/>
      <c r="N19" s="54"/>
      <c r="O19" s="104"/>
      <c r="P19" s="104"/>
      <c r="Q19" s="110"/>
      <c r="R19" s="110"/>
      <c r="S19" s="54"/>
      <c r="T19" s="54"/>
      <c r="V19" s="50"/>
      <c r="W19" s="50"/>
      <c r="AA19" s="128"/>
      <c r="AB19" s="129"/>
      <c r="AC19" s="134"/>
      <c r="AD19" s="134"/>
    </row>
    <row r="20" spans="1:30" s="49" customFormat="1" ht="15">
      <c r="A20" s="49" t="s">
        <v>93</v>
      </c>
      <c r="C20" s="220">
        <v>0</v>
      </c>
      <c r="D20" s="226"/>
      <c r="E20" s="153"/>
      <c r="F20" s="220">
        <f aca="true" t="shared" si="0" ref="F20:F29">C20+E20</f>
        <v>0</v>
      </c>
      <c r="G20" s="50"/>
      <c r="H20" s="58"/>
      <c r="I20" s="169">
        <v>0</v>
      </c>
      <c r="J20" s="170"/>
      <c r="K20" s="171"/>
      <c r="L20" s="162">
        <f aca="true" t="shared" si="1" ref="L20:L29">I20+K20</f>
        <v>0</v>
      </c>
      <c r="M20" s="50"/>
      <c r="N20" s="54"/>
      <c r="O20" s="117">
        <v>0</v>
      </c>
      <c r="P20" s="195"/>
      <c r="Q20" s="105"/>
      <c r="R20" s="110">
        <f aca="true" t="shared" si="2" ref="R20:R29">O20+Q20</f>
        <v>0</v>
      </c>
      <c r="S20" s="54"/>
      <c r="T20" s="54">
        <v>3480.12</v>
      </c>
      <c r="U20" s="71"/>
      <c r="W20" s="50">
        <f aca="true" t="shared" si="3" ref="W20:W29">T20+V20</f>
        <v>3480.12</v>
      </c>
      <c r="X20" s="70" t="s">
        <v>103</v>
      </c>
      <c r="AA20" s="141"/>
      <c r="AB20" s="129"/>
      <c r="AC20" s="129"/>
      <c r="AD20" s="134">
        <f aca="true" t="shared" si="4" ref="AD20:AD29">AA20+AC20</f>
        <v>0</v>
      </c>
    </row>
    <row r="21" spans="1:30" s="49" customFormat="1" ht="15">
      <c r="A21" s="49" t="s">
        <v>94</v>
      </c>
      <c r="C21" s="220">
        <v>0</v>
      </c>
      <c r="D21" s="226"/>
      <c r="E21" s="153"/>
      <c r="F21" s="220">
        <f t="shared" si="0"/>
        <v>0</v>
      </c>
      <c r="G21" s="50"/>
      <c r="H21" s="58"/>
      <c r="I21" s="169">
        <v>0</v>
      </c>
      <c r="J21" s="170"/>
      <c r="K21" s="171"/>
      <c r="L21" s="162">
        <f t="shared" si="1"/>
        <v>0</v>
      </c>
      <c r="M21" s="50"/>
      <c r="N21" s="54"/>
      <c r="O21" s="117">
        <v>0</v>
      </c>
      <c r="P21" s="195"/>
      <c r="Q21" s="105"/>
      <c r="R21" s="110">
        <f t="shared" si="2"/>
        <v>0</v>
      </c>
      <c r="S21" s="54"/>
      <c r="T21" s="54">
        <v>20007.31</v>
      </c>
      <c r="U21" s="71"/>
      <c r="V21" s="72">
        <v>-3523</v>
      </c>
      <c r="W21" s="50">
        <f t="shared" si="3"/>
        <v>16484.31</v>
      </c>
      <c r="X21" s="70" t="s">
        <v>103</v>
      </c>
      <c r="AA21" s="141"/>
      <c r="AB21" s="129"/>
      <c r="AC21" s="129"/>
      <c r="AD21" s="134">
        <f t="shared" si="4"/>
        <v>0</v>
      </c>
    </row>
    <row r="22" spans="1:30" s="49" customFormat="1" ht="15">
      <c r="A22" s="49" t="s">
        <v>4</v>
      </c>
      <c r="C22" s="220"/>
      <c r="D22" s="227" t="s">
        <v>129</v>
      </c>
      <c r="E22" s="228"/>
      <c r="F22" s="220">
        <f t="shared" si="0"/>
        <v>0</v>
      </c>
      <c r="G22" s="50"/>
      <c r="H22" s="58"/>
      <c r="I22" s="156">
        <v>631250</v>
      </c>
      <c r="J22" s="172"/>
      <c r="K22" s="162">
        <v>-5574666</v>
      </c>
      <c r="L22" s="162">
        <f t="shared" si="1"/>
        <v>-4943416</v>
      </c>
      <c r="M22" s="50"/>
      <c r="N22" s="54"/>
      <c r="O22" s="104">
        <v>631250</v>
      </c>
      <c r="P22" s="196"/>
      <c r="Q22" s="118"/>
      <c r="R22" s="110">
        <f t="shared" si="2"/>
        <v>631250</v>
      </c>
      <c r="S22" s="54"/>
      <c r="T22" s="54">
        <v>631250</v>
      </c>
      <c r="U22" s="73"/>
      <c r="V22" s="74">
        <v>-5574666</v>
      </c>
      <c r="W22" s="50">
        <f t="shared" si="3"/>
        <v>-4943416</v>
      </c>
      <c r="AA22" s="128"/>
      <c r="AB22" s="129"/>
      <c r="AC22" s="142"/>
      <c r="AD22" s="134">
        <f t="shared" si="4"/>
        <v>0</v>
      </c>
    </row>
    <row r="23" spans="1:30" s="49" customFormat="1" ht="15">
      <c r="A23" s="49" t="s">
        <v>6</v>
      </c>
      <c r="C23" s="220"/>
      <c r="D23" s="221"/>
      <c r="E23" s="220"/>
      <c r="F23" s="220">
        <f t="shared" si="0"/>
        <v>0</v>
      </c>
      <c r="G23" s="50"/>
      <c r="H23" s="58"/>
      <c r="I23" s="156">
        <v>1485000</v>
      </c>
      <c r="J23" s="156"/>
      <c r="K23" s="162"/>
      <c r="L23" s="162">
        <f t="shared" si="1"/>
        <v>1485000</v>
      </c>
      <c r="M23" s="50"/>
      <c r="N23" s="54"/>
      <c r="O23" s="104">
        <v>1485000</v>
      </c>
      <c r="P23" s="104"/>
      <c r="Q23" s="110"/>
      <c r="R23" s="110">
        <f t="shared" si="2"/>
        <v>1485000</v>
      </c>
      <c r="S23" s="54"/>
      <c r="T23" s="54">
        <v>1485000</v>
      </c>
      <c r="V23" s="50"/>
      <c r="W23" s="50">
        <f t="shared" si="3"/>
        <v>1485000</v>
      </c>
      <c r="AA23" s="128"/>
      <c r="AB23" s="129"/>
      <c r="AC23" s="134"/>
      <c r="AD23" s="134">
        <f t="shared" si="4"/>
        <v>0</v>
      </c>
    </row>
    <row r="24" spans="1:30" s="49" customFormat="1" ht="15">
      <c r="A24" s="49" t="s">
        <v>3</v>
      </c>
      <c r="C24" s="220"/>
      <c r="D24" s="221"/>
      <c r="E24" s="220"/>
      <c r="F24" s="220">
        <f t="shared" si="0"/>
        <v>0</v>
      </c>
      <c r="G24" s="50"/>
      <c r="H24" s="58"/>
      <c r="I24" s="156">
        <v>1018750</v>
      </c>
      <c r="J24" s="156"/>
      <c r="K24" s="162"/>
      <c r="L24" s="162">
        <f t="shared" si="1"/>
        <v>1018750</v>
      </c>
      <c r="M24" s="50"/>
      <c r="N24" s="54"/>
      <c r="O24" s="104">
        <v>1018750</v>
      </c>
      <c r="P24" s="104"/>
      <c r="Q24" s="110"/>
      <c r="R24" s="110">
        <f t="shared" si="2"/>
        <v>1018750</v>
      </c>
      <c r="S24" s="54"/>
      <c r="T24" s="54">
        <v>1018750</v>
      </c>
      <c r="V24" s="50"/>
      <c r="W24" s="50">
        <f t="shared" si="3"/>
        <v>1018750</v>
      </c>
      <c r="AA24" s="128"/>
      <c r="AB24" s="129"/>
      <c r="AC24" s="134"/>
      <c r="AD24" s="134">
        <f t="shared" si="4"/>
        <v>0</v>
      </c>
    </row>
    <row r="25" spans="1:30" s="49" customFormat="1" ht="15">
      <c r="A25" s="49" t="s">
        <v>155</v>
      </c>
      <c r="C25" s="220"/>
      <c r="D25" s="221"/>
      <c r="E25" s="220"/>
      <c r="F25" s="220"/>
      <c r="G25" s="50"/>
      <c r="H25" s="58"/>
      <c r="I25" s="156">
        <v>0</v>
      </c>
      <c r="J25" s="156"/>
      <c r="K25" s="162"/>
      <c r="L25" s="162">
        <f t="shared" si="1"/>
        <v>0</v>
      </c>
      <c r="M25" s="50"/>
      <c r="N25" s="54"/>
      <c r="O25" s="104">
        <v>0</v>
      </c>
      <c r="P25" s="104"/>
      <c r="Q25" s="110"/>
      <c r="R25" s="110">
        <f t="shared" si="2"/>
        <v>0</v>
      </c>
      <c r="S25" s="54"/>
      <c r="T25" s="54"/>
      <c r="V25" s="50"/>
      <c r="W25" s="50"/>
      <c r="AA25" s="128">
        <v>465</v>
      </c>
      <c r="AB25" s="129"/>
      <c r="AC25" s="134"/>
      <c r="AD25" s="134">
        <f t="shared" si="4"/>
        <v>465</v>
      </c>
    </row>
    <row r="26" spans="1:30" s="49" customFormat="1" ht="15">
      <c r="A26" s="49" t="s">
        <v>7</v>
      </c>
      <c r="C26" s="220"/>
      <c r="D26" s="221"/>
      <c r="E26" s="220"/>
      <c r="F26" s="220">
        <f t="shared" si="0"/>
        <v>0</v>
      </c>
      <c r="G26" s="50"/>
      <c r="H26" s="58"/>
      <c r="I26" s="156">
        <v>410221</v>
      </c>
      <c r="J26" s="156"/>
      <c r="K26" s="162"/>
      <c r="L26" s="162">
        <f t="shared" si="1"/>
        <v>410221</v>
      </c>
      <c r="M26" s="50"/>
      <c r="N26" s="54"/>
      <c r="O26" s="104">
        <v>410221</v>
      </c>
      <c r="P26" s="104"/>
      <c r="Q26" s="110"/>
      <c r="R26" s="110">
        <f t="shared" si="2"/>
        <v>410221</v>
      </c>
      <c r="S26" s="54"/>
      <c r="T26" s="54">
        <v>410221</v>
      </c>
      <c r="V26" s="50"/>
      <c r="W26" s="50">
        <f t="shared" si="3"/>
        <v>410221</v>
      </c>
      <c r="AA26" s="128"/>
      <c r="AB26" s="129"/>
      <c r="AC26" s="134"/>
      <c r="AD26" s="134">
        <f t="shared" si="4"/>
        <v>0</v>
      </c>
    </row>
    <row r="27" spans="1:30" s="49" customFormat="1" ht="15">
      <c r="A27" s="49" t="s">
        <v>5</v>
      </c>
      <c r="C27" s="220"/>
      <c r="D27" s="221"/>
      <c r="E27" s="220"/>
      <c r="F27" s="220">
        <f t="shared" si="0"/>
        <v>0</v>
      </c>
      <c r="G27" s="50"/>
      <c r="H27" s="58"/>
      <c r="I27" s="156">
        <v>575000</v>
      </c>
      <c r="J27" s="156"/>
      <c r="K27" s="162"/>
      <c r="L27" s="162">
        <f t="shared" si="1"/>
        <v>575000</v>
      </c>
      <c r="M27" s="50"/>
      <c r="N27" s="54"/>
      <c r="O27" s="104">
        <v>575000</v>
      </c>
      <c r="P27" s="104"/>
      <c r="Q27" s="110"/>
      <c r="R27" s="110">
        <f t="shared" si="2"/>
        <v>575000</v>
      </c>
      <c r="S27" s="54"/>
      <c r="T27" s="54">
        <v>575000</v>
      </c>
      <c r="V27" s="50"/>
      <c r="W27" s="50">
        <f t="shared" si="3"/>
        <v>575000</v>
      </c>
      <c r="AA27" s="128"/>
      <c r="AB27" s="129"/>
      <c r="AC27" s="134"/>
      <c r="AD27" s="134">
        <f t="shared" si="4"/>
        <v>0</v>
      </c>
    </row>
    <row r="28" spans="1:30" s="49" customFormat="1" ht="15">
      <c r="A28" s="49" t="s">
        <v>2</v>
      </c>
      <c r="C28" s="222"/>
      <c r="D28" s="221"/>
      <c r="E28" s="222"/>
      <c r="F28" s="222">
        <f t="shared" si="0"/>
        <v>0</v>
      </c>
      <c r="G28" s="57"/>
      <c r="H28" s="58"/>
      <c r="I28" s="173">
        <v>1675225</v>
      </c>
      <c r="J28" s="167"/>
      <c r="K28" s="165"/>
      <c r="L28" s="165">
        <f t="shared" si="1"/>
        <v>1675225</v>
      </c>
      <c r="M28" s="57"/>
      <c r="N28" s="54"/>
      <c r="O28" s="112">
        <v>1675225</v>
      </c>
      <c r="P28" s="111"/>
      <c r="Q28" s="113"/>
      <c r="R28" s="113">
        <f t="shared" si="2"/>
        <v>1675225</v>
      </c>
      <c r="S28" s="54"/>
      <c r="T28" s="65">
        <v>1675225</v>
      </c>
      <c r="V28" s="63"/>
      <c r="W28" s="63">
        <f t="shared" si="3"/>
        <v>1675225</v>
      </c>
      <c r="AA28" s="136">
        <v>196669</v>
      </c>
      <c r="AB28" s="129"/>
      <c r="AC28" s="137"/>
      <c r="AD28" s="137">
        <f t="shared" si="4"/>
        <v>196669</v>
      </c>
    </row>
    <row r="29" spans="3:30" s="49" customFormat="1" ht="16.5">
      <c r="C29" s="154">
        <f>SUM(C20:C28)</f>
        <v>0</v>
      </c>
      <c r="D29" s="155"/>
      <c r="E29" s="220"/>
      <c r="F29" s="220">
        <f t="shared" si="0"/>
        <v>0</v>
      </c>
      <c r="G29" s="75" t="s">
        <v>130</v>
      </c>
      <c r="H29" s="58"/>
      <c r="I29" s="156">
        <f>SUM(I20:I28)</f>
        <v>5795446</v>
      </c>
      <c r="J29" s="156"/>
      <c r="K29" s="162">
        <f>SUM(K22:K28)</f>
        <v>-5574666</v>
      </c>
      <c r="L29" s="162">
        <f t="shared" si="1"/>
        <v>220780</v>
      </c>
      <c r="M29" s="75"/>
      <c r="N29" s="54"/>
      <c r="O29" s="104">
        <f>SUM(O20:O28)</f>
        <v>5795446</v>
      </c>
      <c r="P29" s="104"/>
      <c r="Q29" s="110">
        <f>SUM(Q22:Q28)</f>
        <v>0</v>
      </c>
      <c r="R29" s="110">
        <f t="shared" si="2"/>
        <v>5795446</v>
      </c>
      <c r="S29" s="75"/>
      <c r="T29" s="54">
        <f>SUM(T20:T28)</f>
        <v>5818933.43</v>
      </c>
      <c r="V29" s="50">
        <f>SUM(V20:V28)</f>
        <v>-5578189</v>
      </c>
      <c r="W29" s="50">
        <f t="shared" si="3"/>
        <v>240744.4299999997</v>
      </c>
      <c r="AA29" s="246">
        <f>SUM(AA20:AA28)</f>
        <v>197134</v>
      </c>
      <c r="AB29" s="247"/>
      <c r="AC29" s="248"/>
      <c r="AD29" s="246">
        <f t="shared" si="4"/>
        <v>197134</v>
      </c>
    </row>
    <row r="30" spans="3:30" s="49" customFormat="1" ht="15">
      <c r="C30" s="220"/>
      <c r="D30" s="221"/>
      <c r="E30" s="220"/>
      <c r="F30" s="220"/>
      <c r="G30" s="50"/>
      <c r="H30" s="58"/>
      <c r="I30" s="156"/>
      <c r="J30" s="156"/>
      <c r="K30" s="162"/>
      <c r="L30" s="162"/>
      <c r="M30" s="50"/>
      <c r="N30" s="54"/>
      <c r="O30" s="104"/>
      <c r="P30" s="104"/>
      <c r="Q30" s="110"/>
      <c r="R30" s="110"/>
      <c r="S30" s="54"/>
      <c r="T30" s="54"/>
      <c r="V30" s="50"/>
      <c r="W30" s="50"/>
      <c r="AA30" s="128"/>
      <c r="AB30" s="129"/>
      <c r="AC30" s="134"/>
      <c r="AD30" s="134"/>
    </row>
    <row r="31" spans="1:30" s="49" customFormat="1" ht="15">
      <c r="A31" s="49" t="s">
        <v>8</v>
      </c>
      <c r="C31" s="222"/>
      <c r="D31" s="223"/>
      <c r="E31" s="222"/>
      <c r="F31" s="222">
        <f>C31+E31</f>
        <v>0</v>
      </c>
      <c r="G31" s="57"/>
      <c r="H31" s="67"/>
      <c r="I31" s="173">
        <v>932304</v>
      </c>
      <c r="J31" s="166"/>
      <c r="K31" s="165">
        <v>-932304</v>
      </c>
      <c r="L31" s="165">
        <f>I31+K31</f>
        <v>0</v>
      </c>
      <c r="M31" s="57"/>
      <c r="N31" s="54"/>
      <c r="O31" s="112">
        <v>932304</v>
      </c>
      <c r="P31" s="193"/>
      <c r="Q31" s="113"/>
      <c r="R31" s="113">
        <f>O31+Q31</f>
        <v>932304</v>
      </c>
      <c r="S31" s="54"/>
      <c r="T31" s="64">
        <v>0</v>
      </c>
      <c r="V31" s="63"/>
      <c r="W31" s="63">
        <f>T31+V31</f>
        <v>0</v>
      </c>
      <c r="AA31" s="136">
        <v>0</v>
      </c>
      <c r="AB31" s="129"/>
      <c r="AC31" s="137"/>
      <c r="AD31" s="137"/>
    </row>
    <row r="32" spans="3:30" s="49" customFormat="1" ht="16.5">
      <c r="C32" s="154"/>
      <c r="D32" s="155"/>
      <c r="E32" s="220"/>
      <c r="F32" s="220">
        <f>C32+E32</f>
        <v>0</v>
      </c>
      <c r="G32" s="50"/>
      <c r="H32" s="58"/>
      <c r="I32" s="156">
        <f>SUM(I31)</f>
        <v>932304</v>
      </c>
      <c r="J32" s="156"/>
      <c r="K32" s="162">
        <f>SUM(K31)</f>
        <v>-932304</v>
      </c>
      <c r="L32" s="162">
        <f>I32+K32</f>
        <v>0</v>
      </c>
      <c r="M32" s="50"/>
      <c r="N32" s="54"/>
      <c r="O32" s="104">
        <f>SUM(O31)</f>
        <v>932304</v>
      </c>
      <c r="P32" s="104"/>
      <c r="Q32" s="110">
        <f>SUM(Q31)</f>
        <v>0</v>
      </c>
      <c r="R32" s="110">
        <f>O32+Q32</f>
        <v>932304</v>
      </c>
      <c r="S32" s="54"/>
      <c r="T32" s="68">
        <f>SUM(T31)</f>
        <v>0</v>
      </c>
      <c r="V32" s="50">
        <f>SUM(V31)</f>
        <v>0</v>
      </c>
      <c r="W32" s="50">
        <f>T32+V32</f>
        <v>0</v>
      </c>
      <c r="AA32" s="246">
        <f>AA29+AA18+AA10+AA14</f>
        <v>453581.04</v>
      </c>
      <c r="AB32" s="247"/>
      <c r="AC32" s="246"/>
      <c r="AD32" s="246">
        <f>AD10+AD14+AD29+AD18</f>
        <v>453581.04000000004</v>
      </c>
    </row>
    <row r="33" spans="3:30" s="49" customFormat="1" ht="15">
      <c r="C33" s="220"/>
      <c r="D33" s="221"/>
      <c r="E33" s="220"/>
      <c r="F33" s="220"/>
      <c r="G33" s="50"/>
      <c r="H33" s="58"/>
      <c r="I33" s="156"/>
      <c r="J33" s="156"/>
      <c r="K33" s="162"/>
      <c r="L33" s="162"/>
      <c r="M33" s="50"/>
      <c r="N33" s="54"/>
      <c r="O33" s="104"/>
      <c r="P33" s="104"/>
      <c r="Q33" s="110"/>
      <c r="R33" s="110"/>
      <c r="S33" s="54"/>
      <c r="T33" s="54"/>
      <c r="V33" s="50"/>
      <c r="W33" s="50"/>
      <c r="AA33" s="128"/>
      <c r="AB33" s="129"/>
      <c r="AC33" s="134"/>
      <c r="AD33" s="134"/>
    </row>
    <row r="34" spans="1:30" s="49" customFormat="1" ht="15">
      <c r="A34" s="49" t="s">
        <v>98</v>
      </c>
      <c r="C34" s="220"/>
      <c r="D34" s="221"/>
      <c r="E34" s="220"/>
      <c r="F34" s="220">
        <f>C34+E34</f>
        <v>0</v>
      </c>
      <c r="G34" s="50"/>
      <c r="H34" s="58"/>
      <c r="I34" s="169">
        <v>0</v>
      </c>
      <c r="J34" s="169"/>
      <c r="K34" s="162"/>
      <c r="L34" s="162">
        <f>I34+K34</f>
        <v>0</v>
      </c>
      <c r="M34" s="50"/>
      <c r="N34" s="54"/>
      <c r="O34" s="117">
        <v>0</v>
      </c>
      <c r="P34" s="117"/>
      <c r="Q34" s="110"/>
      <c r="R34" s="110">
        <f>O34+Q34</f>
        <v>0</v>
      </c>
      <c r="S34" s="54"/>
      <c r="T34" s="68">
        <v>0</v>
      </c>
      <c r="V34" s="50"/>
      <c r="W34" s="50">
        <f>T34+V34</f>
        <v>0</v>
      </c>
      <c r="AA34" s="141"/>
      <c r="AB34" s="129"/>
      <c r="AC34" s="134"/>
      <c r="AD34" s="134">
        <f>AA34+AC34</f>
        <v>0</v>
      </c>
    </row>
    <row r="35" spans="1:30" s="49" customFormat="1" ht="15">
      <c r="A35" s="49" t="s">
        <v>198</v>
      </c>
      <c r="C35" s="220">
        <v>0</v>
      </c>
      <c r="D35" s="221"/>
      <c r="E35" s="220">
        <v>0</v>
      </c>
      <c r="F35" s="220">
        <v>0</v>
      </c>
      <c r="G35" s="50"/>
      <c r="H35" s="58"/>
      <c r="I35" s="169">
        <v>0</v>
      </c>
      <c r="J35" s="169"/>
      <c r="K35" s="162">
        <v>0</v>
      </c>
      <c r="L35" s="162">
        <v>0</v>
      </c>
      <c r="M35" s="50"/>
      <c r="N35" s="54"/>
      <c r="O35" s="117">
        <v>0</v>
      </c>
      <c r="P35" s="117"/>
      <c r="Q35" s="110">
        <v>0</v>
      </c>
      <c r="R35" s="110">
        <v>0</v>
      </c>
      <c r="S35" s="54"/>
      <c r="T35" s="68"/>
      <c r="V35" s="50"/>
      <c r="W35" s="50"/>
      <c r="AA35" s="134">
        <f>158000-213219.81</f>
        <v>-55219.81</v>
      </c>
      <c r="AB35" s="129"/>
      <c r="AC35" s="134"/>
      <c r="AD35" s="134">
        <f>AA35+AC35</f>
        <v>-55219.81</v>
      </c>
    </row>
    <row r="36" spans="1:30" s="49" customFormat="1" ht="15">
      <c r="A36" s="49" t="s">
        <v>9</v>
      </c>
      <c r="C36" s="220"/>
      <c r="D36" s="221"/>
      <c r="E36" s="220"/>
      <c r="F36" s="220">
        <f>C36+E36</f>
        <v>0</v>
      </c>
      <c r="G36" s="50"/>
      <c r="H36" s="58"/>
      <c r="I36" s="156">
        <v>-26829.79</v>
      </c>
      <c r="J36" s="156"/>
      <c r="K36" s="162"/>
      <c r="L36" s="162">
        <f>I36+K36</f>
        <v>-26829.79</v>
      </c>
      <c r="M36" s="50"/>
      <c r="N36" s="54"/>
      <c r="O36" s="117">
        <v>0</v>
      </c>
      <c r="P36" s="117"/>
      <c r="Q36" s="110"/>
      <c r="R36" s="110">
        <f>O36+Q36</f>
        <v>0</v>
      </c>
      <c r="S36" s="54"/>
      <c r="T36" s="68">
        <v>0</v>
      </c>
      <c r="V36" s="50"/>
      <c r="W36" s="50">
        <f>T36+V36</f>
        <v>0</v>
      </c>
      <c r="AA36" s="141">
        <v>0</v>
      </c>
      <c r="AB36" s="129"/>
      <c r="AC36" s="134"/>
      <c r="AD36" s="134">
        <f>AA36+AC36</f>
        <v>0</v>
      </c>
    </row>
    <row r="37" spans="1:30" s="49" customFormat="1" ht="15">
      <c r="A37" s="49" t="s">
        <v>10</v>
      </c>
      <c r="C37" s="221"/>
      <c r="D37" s="229"/>
      <c r="E37" s="230"/>
      <c r="F37" s="221">
        <f>C37+E37</f>
        <v>0</v>
      </c>
      <c r="G37" s="57"/>
      <c r="H37" s="58"/>
      <c r="I37" s="167">
        <v>-76453.64</v>
      </c>
      <c r="J37" s="174"/>
      <c r="K37" s="175">
        <v>-27331</v>
      </c>
      <c r="L37" s="168">
        <f>I37+K37</f>
        <v>-103784.64</v>
      </c>
      <c r="M37" s="57"/>
      <c r="N37" s="54"/>
      <c r="O37" s="111">
        <v>-18183.98</v>
      </c>
      <c r="P37" s="194"/>
      <c r="Q37" s="115"/>
      <c r="R37" s="115">
        <f>O37+Q37+Q39+Q38</f>
        <v>-18183.98</v>
      </c>
      <c r="S37" s="54"/>
      <c r="T37" s="59">
        <v>0</v>
      </c>
      <c r="U37" s="76"/>
      <c r="V37" s="77">
        <v>-21727</v>
      </c>
      <c r="W37" s="57">
        <f>T37+V37</f>
        <v>-21727</v>
      </c>
      <c r="AA37" s="135">
        <v>-124627.99</v>
      </c>
      <c r="AB37" s="129"/>
      <c r="AC37" s="139"/>
      <c r="AD37" s="139">
        <f>AA37+AC37</f>
        <v>-124627.99</v>
      </c>
    </row>
    <row r="38" spans="3:30" s="49" customFormat="1" ht="15">
      <c r="C38" s="221"/>
      <c r="D38" s="229"/>
      <c r="E38" s="230"/>
      <c r="F38" s="221"/>
      <c r="G38" s="57"/>
      <c r="H38" s="58"/>
      <c r="I38" s="167"/>
      <c r="J38" s="174"/>
      <c r="K38" s="175"/>
      <c r="L38" s="168"/>
      <c r="M38" s="57"/>
      <c r="N38" s="54"/>
      <c r="O38" s="111"/>
      <c r="P38" s="197"/>
      <c r="Q38" s="119"/>
      <c r="R38" s="115"/>
      <c r="S38" s="54"/>
      <c r="T38" s="59"/>
      <c r="U38" s="76"/>
      <c r="V38" s="77"/>
      <c r="W38" s="57"/>
      <c r="AA38" s="135"/>
      <c r="AB38" s="129"/>
      <c r="AC38" s="143"/>
      <c r="AD38" s="139"/>
    </row>
    <row r="39" spans="3:30" s="78" customFormat="1" ht="15">
      <c r="C39" s="222"/>
      <c r="D39" s="231"/>
      <c r="E39" s="232"/>
      <c r="F39" s="222"/>
      <c r="G39" s="57"/>
      <c r="H39" s="79"/>
      <c r="I39" s="173"/>
      <c r="J39" s="176"/>
      <c r="K39" s="177"/>
      <c r="L39" s="165"/>
      <c r="M39" s="57"/>
      <c r="N39" s="61"/>
      <c r="O39" s="112"/>
      <c r="P39" s="198"/>
      <c r="Q39" s="120"/>
      <c r="R39" s="113"/>
      <c r="S39" s="61"/>
      <c r="T39" s="64"/>
      <c r="V39" s="63"/>
      <c r="W39" s="63"/>
      <c r="AA39" s="136"/>
      <c r="AB39" s="144"/>
      <c r="AC39" s="145"/>
      <c r="AD39" s="137"/>
    </row>
    <row r="40" spans="2:30" s="49" customFormat="1" ht="16.5">
      <c r="B40" s="62" t="s">
        <v>125</v>
      </c>
      <c r="C40" s="154">
        <f>SUM(C34:C37)</f>
        <v>0</v>
      </c>
      <c r="D40" s="155"/>
      <c r="E40" s="220"/>
      <c r="F40" s="220">
        <f>C40+E40</f>
        <v>0</v>
      </c>
      <c r="G40" s="50"/>
      <c r="H40" s="60"/>
      <c r="I40" s="156">
        <f>SUM(I36:I37)</f>
        <v>-103283.43</v>
      </c>
      <c r="J40" s="156"/>
      <c r="K40" s="162">
        <f>SUM(K34:K37)</f>
        <v>-27331</v>
      </c>
      <c r="L40" s="162">
        <f>I40+K40</f>
        <v>-130614.43</v>
      </c>
      <c r="M40" s="50"/>
      <c r="N40" s="60"/>
      <c r="O40" s="104">
        <f>SUM(O36:O37)</f>
        <v>-18183.98</v>
      </c>
      <c r="P40" s="104"/>
      <c r="Q40" s="110">
        <f>SUM(Q34:Q39)</f>
        <v>0</v>
      </c>
      <c r="R40" s="110">
        <f>O40+Q40</f>
        <v>-18183.98</v>
      </c>
      <c r="S40" s="60"/>
      <c r="T40" s="68">
        <f>SUM(T36:T37)</f>
        <v>0</v>
      </c>
      <c r="V40" s="50">
        <f>SUM(V34:V37)</f>
        <v>-21727</v>
      </c>
      <c r="W40" s="50">
        <f>T40+V40</f>
        <v>-21727</v>
      </c>
      <c r="AA40" s="248">
        <f>SUM(AA35:AA39)</f>
        <v>-179847.8</v>
      </c>
      <c r="AB40" s="247"/>
      <c r="AC40" s="246"/>
      <c r="AD40" s="248">
        <f>SUM(AD35:AD39)</f>
        <v>-179847.8</v>
      </c>
    </row>
    <row r="41" spans="3:30" s="49" customFormat="1" ht="15">
      <c r="C41" s="220"/>
      <c r="D41" s="221"/>
      <c r="E41" s="220"/>
      <c r="F41" s="220"/>
      <c r="G41" s="50"/>
      <c r="H41" s="58"/>
      <c r="I41" s="156"/>
      <c r="J41" s="156"/>
      <c r="K41" s="162"/>
      <c r="L41" s="162"/>
      <c r="M41" s="50"/>
      <c r="N41" s="54"/>
      <c r="O41" s="104"/>
      <c r="P41" s="104"/>
      <c r="Q41" s="110"/>
      <c r="R41" s="110"/>
      <c r="S41" s="54"/>
      <c r="T41" s="54"/>
      <c r="V41" s="50"/>
      <c r="W41" s="50"/>
      <c r="AA41" s="128"/>
      <c r="AB41" s="129"/>
      <c r="AC41" s="134"/>
      <c r="AD41" s="134"/>
    </row>
    <row r="42" spans="1:30" s="49" customFormat="1" ht="15">
      <c r="A42" s="49" t="s">
        <v>12</v>
      </c>
      <c r="C42" s="220"/>
      <c r="D42" s="221"/>
      <c r="E42" s="220"/>
      <c r="F42" s="220">
        <f>C42+E42</f>
        <v>0</v>
      </c>
      <c r="G42" s="50"/>
      <c r="H42" s="58"/>
      <c r="I42" s="167">
        <v>-68000</v>
      </c>
      <c r="J42" s="167"/>
      <c r="K42" s="162"/>
      <c r="L42" s="162">
        <f>I42+K42</f>
        <v>-68000</v>
      </c>
      <c r="M42" s="50"/>
      <c r="N42" s="54"/>
      <c r="O42" s="104">
        <v>-92000</v>
      </c>
      <c r="P42" s="104"/>
      <c r="Q42" s="110"/>
      <c r="R42" s="110">
        <f>O42+Q42</f>
        <v>-92000</v>
      </c>
      <c r="S42" s="54"/>
      <c r="T42" s="68">
        <v>0</v>
      </c>
      <c r="U42" s="68"/>
      <c r="V42" s="50"/>
      <c r="W42" s="50">
        <f>T42+V42</f>
        <v>0</v>
      </c>
      <c r="AA42" s="128">
        <v>0</v>
      </c>
      <c r="AB42" s="129"/>
      <c r="AC42" s="134"/>
      <c r="AD42" s="134">
        <f>AA42+AC42</f>
        <v>0</v>
      </c>
    </row>
    <row r="43" spans="1:30" s="49" customFormat="1" ht="15">
      <c r="A43" s="49" t="s">
        <v>13</v>
      </c>
      <c r="C43" s="220"/>
      <c r="D43" s="221"/>
      <c r="E43" s="220"/>
      <c r="F43" s="220">
        <f>C43+E43</f>
        <v>0</v>
      </c>
      <c r="G43" s="50"/>
      <c r="H43" s="58"/>
      <c r="I43" s="167">
        <v>-517000</v>
      </c>
      <c r="J43" s="167"/>
      <c r="K43" s="162"/>
      <c r="L43" s="162">
        <f>I43+K43</f>
        <v>-517000</v>
      </c>
      <c r="M43" s="50"/>
      <c r="N43" s="54"/>
      <c r="O43" s="104">
        <v>-523028</v>
      </c>
      <c r="P43" s="104"/>
      <c r="Q43" s="110"/>
      <c r="R43" s="110">
        <f>O43+Q43</f>
        <v>-523028</v>
      </c>
      <c r="S43" s="54"/>
      <c r="T43" s="54">
        <v>-506528</v>
      </c>
      <c r="V43" s="50"/>
      <c r="W43" s="50">
        <f>T43+V43</f>
        <v>-506528</v>
      </c>
      <c r="AA43" s="128">
        <v>-127500</v>
      </c>
      <c r="AB43" s="129"/>
      <c r="AC43" s="134"/>
      <c r="AD43" s="134">
        <f>AA43+AC43</f>
        <v>-127500</v>
      </c>
    </row>
    <row r="44" spans="1:30" s="49" customFormat="1" ht="15">
      <c r="A44" s="49" t="s">
        <v>11</v>
      </c>
      <c r="C44" s="222"/>
      <c r="D44" s="221"/>
      <c r="E44" s="222"/>
      <c r="F44" s="222">
        <f>C44+E44</f>
        <v>0</v>
      </c>
      <c r="G44" s="57"/>
      <c r="H44" s="58"/>
      <c r="I44" s="173">
        <v>-240520</v>
      </c>
      <c r="J44" s="167"/>
      <c r="K44" s="165"/>
      <c r="L44" s="165">
        <f>I44+K44</f>
        <v>-240520</v>
      </c>
      <c r="M44" s="57"/>
      <c r="N44" s="54"/>
      <c r="O44" s="112">
        <v>-240520</v>
      </c>
      <c r="P44" s="111"/>
      <c r="Q44" s="113"/>
      <c r="R44" s="113">
        <f>O44+Q44</f>
        <v>-240520</v>
      </c>
      <c r="S44" s="54"/>
      <c r="T44" s="65">
        <v>-84010</v>
      </c>
      <c r="V44" s="63"/>
      <c r="W44" s="63">
        <f>T44+V44</f>
        <v>-84010</v>
      </c>
      <c r="AA44" s="136">
        <v>-108005.95</v>
      </c>
      <c r="AB44" s="129"/>
      <c r="AC44" s="137"/>
      <c r="AD44" s="137">
        <f>AA44+AC44</f>
        <v>-108005.95</v>
      </c>
    </row>
    <row r="45" spans="3:30" s="49" customFormat="1" ht="16.5">
      <c r="C45" s="154">
        <f>SUM(C42:C44)</f>
        <v>0</v>
      </c>
      <c r="D45" s="155"/>
      <c r="E45" s="220"/>
      <c r="F45" s="220">
        <f>C45+E45</f>
        <v>0</v>
      </c>
      <c r="G45" s="50"/>
      <c r="H45" s="58"/>
      <c r="I45" s="156">
        <f>SUM(I42:I44)</f>
        <v>-825520</v>
      </c>
      <c r="J45" s="156"/>
      <c r="K45" s="162">
        <f>SUM(K42:K44)</f>
        <v>0</v>
      </c>
      <c r="L45" s="162">
        <f>I45+K45</f>
        <v>-825520</v>
      </c>
      <c r="M45" s="50"/>
      <c r="N45" s="54"/>
      <c r="O45" s="104">
        <f>SUM(O42:O44)</f>
        <v>-855548</v>
      </c>
      <c r="P45" s="104"/>
      <c r="Q45" s="110">
        <f>SUM(Q42:Q44)</f>
        <v>0</v>
      </c>
      <c r="R45" s="110">
        <f>O45+Q45</f>
        <v>-855548</v>
      </c>
      <c r="S45" s="54"/>
      <c r="T45" s="54">
        <f>SUM(T42:T44)</f>
        <v>-590538</v>
      </c>
      <c r="V45" s="50">
        <f>SUM(V42:V44)</f>
        <v>0</v>
      </c>
      <c r="W45" s="50">
        <f>T45+V45</f>
        <v>-590538</v>
      </c>
      <c r="AA45" s="248">
        <f>SUM(AA42:AA44)</f>
        <v>-235505.95</v>
      </c>
      <c r="AB45" s="247"/>
      <c r="AC45" s="246"/>
      <c r="AD45" s="248">
        <f>SUM(AD42:AD44)</f>
        <v>-235505.95</v>
      </c>
    </row>
    <row r="46" spans="3:30" s="49" customFormat="1" ht="15">
      <c r="C46" s="220"/>
      <c r="D46" s="221"/>
      <c r="E46" s="220"/>
      <c r="F46" s="220"/>
      <c r="G46" s="50"/>
      <c r="H46" s="58"/>
      <c r="I46" s="156"/>
      <c r="J46" s="156"/>
      <c r="K46" s="162"/>
      <c r="L46" s="162"/>
      <c r="M46" s="50"/>
      <c r="N46" s="54"/>
      <c r="O46" s="104"/>
      <c r="P46" s="104"/>
      <c r="Q46" s="110"/>
      <c r="R46" s="110"/>
      <c r="S46" s="54"/>
      <c r="T46" s="54"/>
      <c r="V46" s="50"/>
      <c r="W46" s="50"/>
      <c r="AA46" s="128"/>
      <c r="AB46" s="129"/>
      <c r="AC46" s="134"/>
      <c r="AD46" s="134"/>
    </row>
    <row r="47" spans="1:30" s="49" customFormat="1" ht="15">
      <c r="A47" s="49" t="s">
        <v>127</v>
      </c>
      <c r="C47" s="220"/>
      <c r="D47" s="221"/>
      <c r="E47" s="220"/>
      <c r="F47" s="220"/>
      <c r="G47" s="50"/>
      <c r="H47" s="58"/>
      <c r="I47" s="156"/>
      <c r="J47" s="156"/>
      <c r="K47" s="162"/>
      <c r="L47" s="162"/>
      <c r="M47" s="50"/>
      <c r="N47" s="54"/>
      <c r="O47" s="104"/>
      <c r="P47" s="199"/>
      <c r="Q47" s="110"/>
      <c r="R47" s="110">
        <f aca="true" t="shared" si="5" ref="R47:R56">O47+Q47</f>
        <v>0</v>
      </c>
      <c r="S47" s="54"/>
      <c r="T47" s="54"/>
      <c r="V47" s="50"/>
      <c r="W47" s="50"/>
      <c r="AA47" s="141">
        <v>0</v>
      </c>
      <c r="AB47" s="129"/>
      <c r="AC47" s="134"/>
      <c r="AD47" s="134">
        <f>AA47+AC47</f>
        <v>0</v>
      </c>
    </row>
    <row r="48" spans="3:30" s="49" customFormat="1" ht="15">
      <c r="C48" s="220"/>
      <c r="D48" s="221"/>
      <c r="E48" s="220"/>
      <c r="F48" s="220"/>
      <c r="G48" s="50"/>
      <c r="H48" s="58"/>
      <c r="I48" s="156"/>
      <c r="J48" s="156"/>
      <c r="K48" s="162"/>
      <c r="L48" s="162"/>
      <c r="M48" s="50"/>
      <c r="N48" s="54"/>
      <c r="O48" s="104"/>
      <c r="P48" s="104"/>
      <c r="Q48" s="110"/>
      <c r="R48" s="110"/>
      <c r="S48" s="54"/>
      <c r="T48" s="54"/>
      <c r="V48" s="50"/>
      <c r="W48" s="50"/>
      <c r="AA48" s="128"/>
      <c r="AB48" s="129"/>
      <c r="AC48" s="134"/>
      <c r="AD48" s="134"/>
    </row>
    <row r="49" spans="1:30" s="49" customFormat="1" ht="15">
      <c r="A49" s="49" t="s">
        <v>14</v>
      </c>
      <c r="B49" s="62" t="s">
        <v>101</v>
      </c>
      <c r="C49" s="220"/>
      <c r="D49" s="221"/>
      <c r="E49" s="220"/>
      <c r="F49" s="220">
        <f aca="true" t="shared" si="6" ref="F49:F56">C49+E49</f>
        <v>0</v>
      </c>
      <c r="G49" s="50"/>
      <c r="H49" s="60"/>
      <c r="I49" s="156">
        <v>-141590.31</v>
      </c>
      <c r="J49" s="156"/>
      <c r="K49" s="162"/>
      <c r="L49" s="162">
        <f aca="true" t="shared" si="7" ref="L49:L56">I49+K49</f>
        <v>-141590.31</v>
      </c>
      <c r="M49" s="50"/>
      <c r="N49" s="60"/>
      <c r="O49" s="104">
        <v>-141590.31</v>
      </c>
      <c r="P49" s="104"/>
      <c r="Q49" s="110"/>
      <c r="R49" s="110">
        <f t="shared" si="5"/>
        <v>-141590.31</v>
      </c>
      <c r="S49" s="54"/>
      <c r="T49" s="68">
        <v>0</v>
      </c>
      <c r="V49" s="50"/>
      <c r="W49" s="50">
        <f aca="true" t="shared" si="8" ref="W49:W56">T49+V49</f>
        <v>0</v>
      </c>
      <c r="AA49" s="141">
        <v>0</v>
      </c>
      <c r="AB49" s="129"/>
      <c r="AC49" s="134"/>
      <c r="AD49" s="134">
        <f aca="true" t="shared" si="9" ref="AD49:AD54">AA49+AC49</f>
        <v>0</v>
      </c>
    </row>
    <row r="50" spans="1:30" s="49" customFormat="1" ht="15">
      <c r="A50" s="49" t="s">
        <v>99</v>
      </c>
      <c r="B50" s="62" t="s">
        <v>101</v>
      </c>
      <c r="C50" s="220"/>
      <c r="D50" s="221"/>
      <c r="E50" s="220"/>
      <c r="F50" s="220">
        <f t="shared" si="6"/>
        <v>0</v>
      </c>
      <c r="G50" s="50"/>
      <c r="H50" s="80"/>
      <c r="I50" s="169">
        <v>0</v>
      </c>
      <c r="J50" s="169"/>
      <c r="K50" s="162"/>
      <c r="L50" s="162">
        <f t="shared" si="7"/>
        <v>0</v>
      </c>
      <c r="M50" s="50"/>
      <c r="N50" s="80"/>
      <c r="O50" s="117">
        <v>0</v>
      </c>
      <c r="P50" s="117"/>
      <c r="Q50" s="110"/>
      <c r="R50" s="110">
        <f t="shared" si="5"/>
        <v>0</v>
      </c>
      <c r="S50" s="54"/>
      <c r="T50" s="68">
        <v>0</v>
      </c>
      <c r="V50" s="50"/>
      <c r="W50" s="50">
        <f t="shared" si="8"/>
        <v>0</v>
      </c>
      <c r="AA50" s="141">
        <v>0</v>
      </c>
      <c r="AB50" s="129"/>
      <c r="AC50" s="134"/>
      <c r="AD50" s="134">
        <f t="shared" si="9"/>
        <v>0</v>
      </c>
    </row>
    <row r="51" spans="1:30" s="49" customFormat="1" ht="15">
      <c r="A51" s="49" t="s">
        <v>100</v>
      </c>
      <c r="B51" s="62" t="s">
        <v>101</v>
      </c>
      <c r="C51" s="220"/>
      <c r="D51" s="221"/>
      <c r="E51" s="220"/>
      <c r="F51" s="220">
        <f t="shared" si="6"/>
        <v>0</v>
      </c>
      <c r="G51" s="50"/>
      <c r="H51" s="80"/>
      <c r="I51" s="169">
        <v>0</v>
      </c>
      <c r="J51" s="169"/>
      <c r="K51" s="162"/>
      <c r="L51" s="162">
        <f t="shared" si="7"/>
        <v>0</v>
      </c>
      <c r="M51" s="50"/>
      <c r="N51" s="80"/>
      <c r="O51" s="117">
        <v>0</v>
      </c>
      <c r="P51" s="117"/>
      <c r="Q51" s="110"/>
      <c r="R51" s="110">
        <f t="shared" si="5"/>
        <v>0</v>
      </c>
      <c r="S51" s="54"/>
      <c r="T51" s="68">
        <v>0</v>
      </c>
      <c r="V51" s="50"/>
      <c r="W51" s="50">
        <f t="shared" si="8"/>
        <v>0</v>
      </c>
      <c r="AA51" s="141">
        <v>0</v>
      </c>
      <c r="AB51" s="129"/>
      <c r="AC51" s="134"/>
      <c r="AD51" s="134">
        <f t="shared" si="9"/>
        <v>0</v>
      </c>
    </row>
    <row r="52" spans="1:30" s="49" customFormat="1" ht="15">
      <c r="A52" s="49" t="s">
        <v>15</v>
      </c>
      <c r="B52" s="62" t="s">
        <v>101</v>
      </c>
      <c r="C52" s="220"/>
      <c r="D52" s="221"/>
      <c r="E52" s="220"/>
      <c r="F52" s="220">
        <f t="shared" si="6"/>
        <v>0</v>
      </c>
      <c r="G52" s="50"/>
      <c r="H52" s="60"/>
      <c r="I52" s="156">
        <v>-116865.05</v>
      </c>
      <c r="J52" s="156"/>
      <c r="K52" s="162"/>
      <c r="L52" s="162">
        <f t="shared" si="7"/>
        <v>-116865.05</v>
      </c>
      <c r="M52" s="50"/>
      <c r="N52" s="80"/>
      <c r="O52" s="117">
        <v>0</v>
      </c>
      <c r="P52" s="117"/>
      <c r="Q52" s="110"/>
      <c r="R52" s="110">
        <f t="shared" si="5"/>
        <v>0</v>
      </c>
      <c r="S52" s="54"/>
      <c r="T52" s="68">
        <v>0</v>
      </c>
      <c r="V52" s="50"/>
      <c r="W52" s="50">
        <f t="shared" si="8"/>
        <v>0</v>
      </c>
      <c r="AA52" s="141">
        <v>0</v>
      </c>
      <c r="AB52" s="129"/>
      <c r="AC52" s="134"/>
      <c r="AD52" s="134">
        <f t="shared" si="9"/>
        <v>0</v>
      </c>
    </row>
    <row r="53" spans="1:30" s="49" customFormat="1" ht="15">
      <c r="A53" s="49" t="s">
        <v>16</v>
      </c>
      <c r="B53" s="62" t="s">
        <v>101</v>
      </c>
      <c r="C53" s="220"/>
      <c r="D53" s="221"/>
      <c r="E53" s="220"/>
      <c r="F53" s="220">
        <f t="shared" si="6"/>
        <v>0</v>
      </c>
      <c r="G53" s="50"/>
      <c r="H53" s="60"/>
      <c r="I53" s="156">
        <v>-20000</v>
      </c>
      <c r="J53" s="156"/>
      <c r="K53" s="162"/>
      <c r="L53" s="162">
        <f t="shared" si="7"/>
        <v>-20000</v>
      </c>
      <c r="M53" s="50"/>
      <c r="N53" s="80"/>
      <c r="O53" s="117">
        <v>0</v>
      </c>
      <c r="P53" s="117"/>
      <c r="Q53" s="110"/>
      <c r="R53" s="110">
        <f t="shared" si="5"/>
        <v>0</v>
      </c>
      <c r="S53" s="54"/>
      <c r="T53" s="68">
        <v>0</v>
      </c>
      <c r="V53" s="50"/>
      <c r="W53" s="50">
        <f t="shared" si="8"/>
        <v>0</v>
      </c>
      <c r="AA53" s="141">
        <v>0</v>
      </c>
      <c r="AB53" s="129"/>
      <c r="AC53" s="134"/>
      <c r="AD53" s="134">
        <f t="shared" si="9"/>
        <v>0</v>
      </c>
    </row>
    <row r="54" spans="1:30" s="49" customFormat="1" ht="15">
      <c r="A54" s="49" t="s">
        <v>17</v>
      </c>
      <c r="B54" s="62" t="s">
        <v>101</v>
      </c>
      <c r="C54" s="220"/>
      <c r="D54" s="233"/>
      <c r="E54" s="220"/>
      <c r="F54" s="220">
        <f t="shared" si="6"/>
        <v>0</v>
      </c>
      <c r="G54" s="50"/>
      <c r="H54" s="60"/>
      <c r="I54" s="156">
        <v>-100000</v>
      </c>
      <c r="J54" s="178"/>
      <c r="K54" s="162">
        <v>100000</v>
      </c>
      <c r="L54" s="162">
        <f t="shared" si="7"/>
        <v>0</v>
      </c>
      <c r="M54" s="50"/>
      <c r="N54" s="60"/>
      <c r="O54" s="104">
        <v>-100000</v>
      </c>
      <c r="P54" s="200"/>
      <c r="Q54" s="110"/>
      <c r="R54" s="110">
        <f t="shared" si="5"/>
        <v>-100000</v>
      </c>
      <c r="S54" s="54"/>
      <c r="T54" s="68">
        <v>0</v>
      </c>
      <c r="V54" s="50"/>
      <c r="W54" s="50">
        <f t="shared" si="8"/>
        <v>0</v>
      </c>
      <c r="AA54" s="141">
        <v>0</v>
      </c>
      <c r="AB54" s="129"/>
      <c r="AC54" s="134"/>
      <c r="AD54" s="134">
        <f t="shared" si="9"/>
        <v>0</v>
      </c>
    </row>
    <row r="55" spans="1:30" s="49" customFormat="1" ht="15">
      <c r="A55" s="49" t="s">
        <v>81</v>
      </c>
      <c r="C55" s="222"/>
      <c r="D55" s="221"/>
      <c r="E55" s="222"/>
      <c r="F55" s="222">
        <f t="shared" si="6"/>
        <v>0</v>
      </c>
      <c r="G55" s="57"/>
      <c r="H55" s="80"/>
      <c r="I55" s="164">
        <v>0</v>
      </c>
      <c r="J55" s="163"/>
      <c r="K55" s="165"/>
      <c r="L55" s="165">
        <f t="shared" si="7"/>
        <v>0</v>
      </c>
      <c r="M55" s="57"/>
      <c r="N55" s="60"/>
      <c r="O55" s="112">
        <v>-200500</v>
      </c>
      <c r="P55" s="111"/>
      <c r="Q55" s="113"/>
      <c r="R55" s="113">
        <f t="shared" si="5"/>
        <v>-200500</v>
      </c>
      <c r="S55" s="60"/>
      <c r="T55" s="65">
        <v>-1225500</v>
      </c>
      <c r="V55" s="63"/>
      <c r="W55" s="63">
        <f t="shared" si="8"/>
        <v>-1225500</v>
      </c>
      <c r="AA55" s="136">
        <f>-263772.92-632339.59</f>
        <v>-896112.51</v>
      </c>
      <c r="AB55" s="129"/>
      <c r="AC55" s="137"/>
      <c r="AD55" s="137">
        <f>AA55+AC55</f>
        <v>-896112.51</v>
      </c>
    </row>
    <row r="56" spans="3:30" s="49" customFormat="1" ht="16.5">
      <c r="C56" s="154">
        <f>SUM(C49:C55)</f>
        <v>0</v>
      </c>
      <c r="D56" s="155"/>
      <c r="E56" s="220"/>
      <c r="F56" s="220">
        <f t="shared" si="6"/>
        <v>0</v>
      </c>
      <c r="G56" s="50"/>
      <c r="H56" s="58"/>
      <c r="I56" s="156">
        <f>SUM(I49:I55)</f>
        <v>-378455.36</v>
      </c>
      <c r="J56" s="156"/>
      <c r="K56" s="162">
        <f>SUM(K49:K55)</f>
        <v>100000</v>
      </c>
      <c r="L56" s="162">
        <f t="shared" si="7"/>
        <v>-278455.36</v>
      </c>
      <c r="M56" s="50"/>
      <c r="N56" s="54"/>
      <c r="O56" s="104">
        <f>SUM(O49:O55)</f>
        <v>-442090.31</v>
      </c>
      <c r="P56" s="104"/>
      <c r="Q56" s="110">
        <f>SUM(Q49:Q55)</f>
        <v>0</v>
      </c>
      <c r="R56" s="110">
        <f t="shared" si="5"/>
        <v>-442090.31</v>
      </c>
      <c r="S56" s="54"/>
      <c r="T56" s="54">
        <f>SUM(T49:T55)</f>
        <v>-1225500</v>
      </c>
      <c r="V56" s="50">
        <f>SUM(V49:V55)</f>
        <v>0</v>
      </c>
      <c r="W56" s="50">
        <f t="shared" si="8"/>
        <v>-1225500</v>
      </c>
      <c r="AA56" s="248">
        <f>SUM(AA49:AA55)</f>
        <v>-896112.51</v>
      </c>
      <c r="AB56" s="247"/>
      <c r="AC56" s="246"/>
      <c r="AD56" s="248">
        <f>SUM(AD49:AD55)</f>
        <v>-896112.51</v>
      </c>
    </row>
    <row r="57" spans="3:30" s="49" customFormat="1" ht="15">
      <c r="C57" s="220"/>
      <c r="D57" s="221"/>
      <c r="E57" s="220"/>
      <c r="F57" s="220"/>
      <c r="G57" s="50"/>
      <c r="H57" s="58"/>
      <c r="I57" s="156"/>
      <c r="J57" s="156"/>
      <c r="K57" s="162"/>
      <c r="L57" s="162"/>
      <c r="M57" s="50"/>
      <c r="N57" s="54"/>
      <c r="O57" s="104"/>
      <c r="P57" s="104"/>
      <c r="Q57" s="110"/>
      <c r="R57" s="110"/>
      <c r="S57" s="54"/>
      <c r="T57" s="54"/>
      <c r="V57" s="50"/>
      <c r="W57" s="50"/>
      <c r="AA57" s="128"/>
      <c r="AB57" s="129"/>
      <c r="AC57" s="134"/>
      <c r="AD57" s="134"/>
    </row>
    <row r="58" spans="1:30" s="49" customFormat="1" ht="15">
      <c r="A58" s="49" t="s">
        <v>20</v>
      </c>
      <c r="C58" s="221"/>
      <c r="D58" s="223"/>
      <c r="E58" s="220"/>
      <c r="F58" s="220">
        <f>C58+E58+E59+E60+E61</f>
        <v>0</v>
      </c>
      <c r="G58" s="50"/>
      <c r="H58" s="67"/>
      <c r="I58" s="156">
        <v>2650143.62</v>
      </c>
      <c r="J58" s="166"/>
      <c r="K58" s="162">
        <f>-(K31+K12)</f>
        <v>938762</v>
      </c>
      <c r="L58" s="162">
        <f>I58+K58+K59+K60+K61+K62+K63+K64+K65+K66+K67</f>
        <v>9078966.620000001</v>
      </c>
      <c r="M58" s="50"/>
      <c r="N58" s="54"/>
      <c r="O58" s="104">
        <v>3202183.31</v>
      </c>
      <c r="P58" s="193"/>
      <c r="Q58" s="110">
        <f>-(Q31+Q12)</f>
        <v>0</v>
      </c>
      <c r="R58" s="110">
        <f>O58+Q58+Q59+Q60+Q61+Q62+Q63+Q64+Q65+Q66+Q67</f>
        <v>3202183.31</v>
      </c>
      <c r="S58" s="54"/>
      <c r="T58" s="54">
        <v>3924483.42</v>
      </c>
      <c r="U58" s="82"/>
      <c r="V58" s="50">
        <v>938762</v>
      </c>
      <c r="W58" s="50">
        <f>T58+V58+V62+V59+V60+V61+V63+V64+V65+V66+V67+V68+V69+V70</f>
        <v>10423267.42</v>
      </c>
      <c r="AA58" s="128">
        <v>4347082.46</v>
      </c>
      <c r="AB58" s="129"/>
      <c r="AC58" s="134"/>
      <c r="AD58" s="134">
        <f>AA58+AC58</f>
        <v>4347082.46</v>
      </c>
    </row>
    <row r="59" spans="3:30" s="49" customFormat="1" ht="15">
      <c r="C59" s="221"/>
      <c r="D59" s="223"/>
      <c r="E59" s="220"/>
      <c r="F59" s="220"/>
      <c r="G59" s="50"/>
      <c r="H59" s="67"/>
      <c r="I59" s="156"/>
      <c r="J59" s="166"/>
      <c r="K59" s="162">
        <v>-100000</v>
      </c>
      <c r="L59" s="162"/>
      <c r="M59" s="50"/>
      <c r="N59" s="54"/>
      <c r="O59" s="104"/>
      <c r="P59" s="193"/>
      <c r="Q59" s="110"/>
      <c r="R59" s="110"/>
      <c r="S59" s="54"/>
      <c r="T59" s="54"/>
      <c r="U59" s="66"/>
      <c r="V59" s="50">
        <v>-100000</v>
      </c>
      <c r="W59" s="50"/>
      <c r="AA59" s="128"/>
      <c r="AB59" s="129"/>
      <c r="AC59" s="134"/>
      <c r="AD59" s="134"/>
    </row>
    <row r="60" spans="3:30" s="49" customFormat="1" ht="15">
      <c r="C60" s="221"/>
      <c r="D60" s="234"/>
      <c r="E60" s="228"/>
      <c r="F60" s="220"/>
      <c r="G60" s="50"/>
      <c r="H60" s="67"/>
      <c r="I60" s="156"/>
      <c r="J60" s="179"/>
      <c r="K60" s="162">
        <v>5574666</v>
      </c>
      <c r="L60" s="162"/>
      <c r="M60" s="50"/>
      <c r="N60" s="54"/>
      <c r="O60" s="104"/>
      <c r="P60" s="201"/>
      <c r="Q60" s="118"/>
      <c r="R60" s="110"/>
      <c r="S60" s="54"/>
      <c r="T60" s="54"/>
      <c r="U60" s="69"/>
      <c r="V60" s="57">
        <v>-200000</v>
      </c>
      <c r="W60" s="50"/>
      <c r="AA60" s="128"/>
      <c r="AB60" s="129"/>
      <c r="AC60" s="142"/>
      <c r="AD60" s="134"/>
    </row>
    <row r="61" spans="3:30" s="49" customFormat="1" ht="15">
      <c r="C61" s="221"/>
      <c r="D61" s="235"/>
      <c r="E61" s="219"/>
      <c r="F61" s="220"/>
      <c r="G61" s="50"/>
      <c r="H61" s="67"/>
      <c r="I61" s="156"/>
      <c r="J61" s="180"/>
      <c r="K61" s="181">
        <v>5171</v>
      </c>
      <c r="L61" s="162"/>
      <c r="M61" s="50"/>
      <c r="N61" s="54"/>
      <c r="O61" s="104"/>
      <c r="P61" s="201"/>
      <c r="Q61" s="118"/>
      <c r="R61" s="110"/>
      <c r="S61" s="54"/>
      <c r="T61" s="54"/>
      <c r="U61" s="85"/>
      <c r="V61" s="50">
        <v>200209</v>
      </c>
      <c r="W61" s="50"/>
      <c r="AA61" s="128"/>
      <c r="AB61" s="129"/>
      <c r="AC61" s="142"/>
      <c r="AD61" s="134"/>
    </row>
    <row r="62" spans="3:30" s="49" customFormat="1" ht="15">
      <c r="C62" s="221"/>
      <c r="D62" s="223"/>
      <c r="E62" s="220"/>
      <c r="F62" s="220"/>
      <c r="G62" s="50"/>
      <c r="H62" s="67"/>
      <c r="I62" s="156"/>
      <c r="J62" s="182"/>
      <c r="K62" s="161">
        <v>-4516</v>
      </c>
      <c r="L62" s="162"/>
      <c r="M62" s="50"/>
      <c r="N62" s="54"/>
      <c r="O62" s="104"/>
      <c r="P62" s="202"/>
      <c r="Q62" s="121"/>
      <c r="R62" s="110"/>
      <c r="S62" s="54"/>
      <c r="T62" s="54"/>
      <c r="U62" s="83"/>
      <c r="V62" s="74">
        <f>+Q60</f>
        <v>0</v>
      </c>
      <c r="W62" s="50"/>
      <c r="AA62" s="128"/>
      <c r="AB62" s="129"/>
      <c r="AC62" s="146"/>
      <c r="AD62" s="134"/>
    </row>
    <row r="63" spans="3:30" s="49" customFormat="1" ht="15">
      <c r="C63" s="221"/>
      <c r="D63" s="223"/>
      <c r="E63" s="220"/>
      <c r="F63" s="220"/>
      <c r="G63" s="50"/>
      <c r="H63" s="67"/>
      <c r="I63" s="156"/>
      <c r="J63" s="183"/>
      <c r="K63" s="162">
        <v>4005</v>
      </c>
      <c r="L63" s="162"/>
      <c r="M63" s="50"/>
      <c r="N63" s="54"/>
      <c r="O63" s="104"/>
      <c r="P63" s="203"/>
      <c r="Q63" s="109"/>
      <c r="R63" s="110"/>
      <c r="S63" s="54"/>
      <c r="T63" s="54"/>
      <c r="U63" s="86"/>
      <c r="V63" s="50">
        <f>+Q135</f>
        <v>0</v>
      </c>
      <c r="W63" s="50"/>
      <c r="AA63" s="128"/>
      <c r="AB63" s="129"/>
      <c r="AC63" s="133"/>
      <c r="AD63" s="134"/>
    </row>
    <row r="64" spans="3:30" s="49" customFormat="1" ht="15">
      <c r="C64" s="221"/>
      <c r="D64" s="223"/>
      <c r="E64" s="220"/>
      <c r="F64" s="220"/>
      <c r="G64" s="50"/>
      <c r="H64" s="67"/>
      <c r="I64" s="156"/>
      <c r="J64" s="184"/>
      <c r="K64" s="185">
        <v>10735</v>
      </c>
      <c r="L64" s="162"/>
      <c r="M64" s="50"/>
      <c r="N64" s="54"/>
      <c r="O64" s="104"/>
      <c r="P64" s="204"/>
      <c r="Q64" s="110"/>
      <c r="R64" s="110"/>
      <c r="S64" s="54"/>
      <c r="T64" s="54"/>
      <c r="U64" s="83"/>
      <c r="V64" s="74">
        <v>5574666</v>
      </c>
      <c r="W64" s="50"/>
      <c r="AA64" s="128"/>
      <c r="AB64" s="129"/>
      <c r="AC64" s="134"/>
      <c r="AD64" s="134"/>
    </row>
    <row r="65" spans="3:30" s="49" customFormat="1" ht="15">
      <c r="C65" s="221"/>
      <c r="D65" s="223"/>
      <c r="E65" s="220"/>
      <c r="F65" s="220"/>
      <c r="G65" s="50"/>
      <c r="H65" s="67"/>
      <c r="I65" s="156"/>
      <c r="J65" s="166"/>
      <c r="K65" s="162"/>
      <c r="L65" s="162"/>
      <c r="M65" s="50"/>
      <c r="N65" s="54"/>
      <c r="O65" s="104"/>
      <c r="P65" s="205"/>
      <c r="Q65" s="122"/>
      <c r="R65" s="110"/>
      <c r="S65" s="54"/>
      <c r="T65" s="54"/>
      <c r="U65" s="71"/>
      <c r="V65" s="89">
        <f>-V126</f>
        <v>68610</v>
      </c>
      <c r="W65" s="50"/>
      <c r="AA65" s="128"/>
      <c r="AB65" s="129"/>
      <c r="AC65" s="147"/>
      <c r="AD65" s="134"/>
    </row>
    <row r="66" spans="3:30" s="49" customFormat="1" ht="15">
      <c r="C66" s="221"/>
      <c r="D66" s="223"/>
      <c r="E66" s="220"/>
      <c r="F66" s="220"/>
      <c r="G66" s="50"/>
      <c r="H66" s="67"/>
      <c r="I66" s="156"/>
      <c r="J66" s="166"/>
      <c r="K66" s="162"/>
      <c r="L66" s="162"/>
      <c r="M66" s="50"/>
      <c r="N66" s="54"/>
      <c r="O66" s="104"/>
      <c r="P66" s="206"/>
      <c r="Q66" s="123"/>
      <c r="R66" s="110"/>
      <c r="S66" s="54"/>
      <c r="T66" s="54"/>
      <c r="U66" s="76"/>
      <c r="V66" s="77">
        <v>17048</v>
      </c>
      <c r="W66" s="50"/>
      <c r="AA66" s="128"/>
      <c r="AB66" s="129"/>
      <c r="AC66" s="148"/>
      <c r="AD66" s="134"/>
    </row>
    <row r="67" spans="3:30" s="49" customFormat="1" ht="15">
      <c r="C67" s="221"/>
      <c r="D67" s="223"/>
      <c r="E67" s="220"/>
      <c r="F67" s="220"/>
      <c r="G67" s="50"/>
      <c r="H67" s="67"/>
      <c r="I67" s="156"/>
      <c r="J67" s="166"/>
      <c r="K67" s="162"/>
      <c r="L67" s="162"/>
      <c r="M67" s="50"/>
      <c r="N67" s="54"/>
      <c r="O67" s="104"/>
      <c r="P67" s="193"/>
      <c r="Q67" s="110"/>
      <c r="R67" s="110"/>
      <c r="S67" s="54"/>
      <c r="T67" s="54"/>
      <c r="U67" s="84"/>
      <c r="V67" s="51">
        <v>-4516</v>
      </c>
      <c r="W67" s="50"/>
      <c r="AA67" s="128"/>
      <c r="AB67" s="129"/>
      <c r="AC67" s="134"/>
      <c r="AD67" s="134"/>
    </row>
    <row r="68" spans="3:30" s="49" customFormat="1" ht="15">
      <c r="C68" s="221"/>
      <c r="D68" s="223"/>
      <c r="E68" s="220"/>
      <c r="F68" s="220"/>
      <c r="G68" s="50"/>
      <c r="H68" s="67"/>
      <c r="I68" s="156"/>
      <c r="J68" s="166"/>
      <c r="K68" s="162"/>
      <c r="L68" s="162"/>
      <c r="M68" s="50"/>
      <c r="N68" s="54"/>
      <c r="O68" s="104"/>
      <c r="P68" s="193"/>
      <c r="Q68" s="110"/>
      <c r="R68" s="110"/>
      <c r="S68" s="54"/>
      <c r="T68" s="54"/>
      <c r="U68" s="81"/>
      <c r="V68" s="50">
        <v>4005</v>
      </c>
      <c r="W68" s="50"/>
      <c r="AA68" s="128"/>
      <c r="AB68" s="129"/>
      <c r="AC68" s="134"/>
      <c r="AD68" s="134"/>
    </row>
    <row r="69" spans="3:30" s="49" customFormat="1" ht="15">
      <c r="C69" s="221"/>
      <c r="D69" s="223"/>
      <c r="E69" s="220"/>
      <c r="F69" s="220"/>
      <c r="G69" s="50"/>
      <c r="H69" s="67"/>
      <c r="I69" s="156"/>
      <c r="J69" s="166"/>
      <c r="K69" s="162"/>
      <c r="L69" s="162"/>
      <c r="M69" s="50"/>
      <c r="N69" s="54"/>
      <c r="O69" s="104"/>
      <c r="P69" s="193"/>
      <c r="Q69" s="110"/>
      <c r="R69" s="110"/>
      <c r="S69" s="54"/>
      <c r="T69" s="54"/>
      <c r="U69" s="87"/>
      <c r="V69" s="88">
        <f>+Q65-Q76</f>
        <v>0</v>
      </c>
      <c r="W69" s="50"/>
      <c r="AA69" s="128"/>
      <c r="AB69" s="129"/>
      <c r="AC69" s="134"/>
      <c r="AD69" s="134"/>
    </row>
    <row r="70" spans="3:30" s="49" customFormat="1" ht="15">
      <c r="C70" s="221"/>
      <c r="D70" s="223"/>
      <c r="E70" s="220"/>
      <c r="F70" s="220"/>
      <c r="G70" s="50"/>
      <c r="H70" s="67"/>
      <c r="I70" s="156"/>
      <c r="J70" s="166"/>
      <c r="K70" s="162"/>
      <c r="L70" s="162"/>
      <c r="M70" s="50"/>
      <c r="N70" s="54"/>
      <c r="O70" s="104"/>
      <c r="P70" s="193"/>
      <c r="Q70" s="110"/>
      <c r="R70" s="110"/>
      <c r="S70" s="54"/>
      <c r="T70" s="54"/>
      <c r="U70" s="92"/>
      <c r="V70" s="93">
        <f>-Q78</f>
        <v>0</v>
      </c>
      <c r="W70" s="50"/>
      <c r="AA70" s="128"/>
      <c r="AB70" s="129"/>
      <c r="AC70" s="134"/>
      <c r="AD70" s="134"/>
    </row>
    <row r="71" spans="1:30" s="49" customFormat="1" ht="15">
      <c r="A71" s="49" t="s">
        <v>18</v>
      </c>
      <c r="C71" s="221"/>
      <c r="D71" s="236"/>
      <c r="E71" s="153"/>
      <c r="F71" s="220">
        <f>C71+E71</f>
        <v>0</v>
      </c>
      <c r="G71" s="50"/>
      <c r="H71" s="58"/>
      <c r="I71" s="156">
        <v>26367657</v>
      </c>
      <c r="J71" s="183"/>
      <c r="K71" s="162"/>
      <c r="L71" s="162">
        <f aca="true" t="shared" si="10" ref="L71:L83">I71+K71</f>
        <v>26367657</v>
      </c>
      <c r="M71" s="50"/>
      <c r="N71" s="54"/>
      <c r="O71" s="104">
        <v>26367657</v>
      </c>
      <c r="P71" s="204"/>
      <c r="Q71" s="110"/>
      <c r="R71" s="110">
        <f>O71+Q71</f>
        <v>26367657</v>
      </c>
      <c r="S71" s="54"/>
      <c r="T71" s="54">
        <v>26367657</v>
      </c>
      <c r="W71" s="50">
        <f>T71+V71</f>
        <v>26367657</v>
      </c>
      <c r="AA71" s="128">
        <v>33834705.04</v>
      </c>
      <c r="AB71" s="129"/>
      <c r="AC71" s="134"/>
      <c r="AD71" s="134">
        <f>AA71+AC71</f>
        <v>33834705.04</v>
      </c>
    </row>
    <row r="72" spans="1:30" s="49" customFormat="1" ht="15">
      <c r="A72" s="49" t="s">
        <v>97</v>
      </c>
      <c r="C72" s="220"/>
      <c r="D72" s="225"/>
      <c r="E72" s="220"/>
      <c r="F72" s="220">
        <f>F170</f>
        <v>92810.15000000002</v>
      </c>
      <c r="G72" s="50"/>
      <c r="H72" s="58"/>
      <c r="I72" s="162">
        <f>I170</f>
        <v>552039.6900000001</v>
      </c>
      <c r="J72" s="163"/>
      <c r="K72" s="162"/>
      <c r="L72" s="162">
        <f>L170</f>
        <v>530716.6900000001</v>
      </c>
      <c r="M72" s="50"/>
      <c r="N72" s="54"/>
      <c r="O72" s="104">
        <f>O170</f>
        <v>722300.11</v>
      </c>
      <c r="P72" s="116"/>
      <c r="Q72" s="110"/>
      <c r="R72" s="110">
        <f>R170</f>
        <v>722300.11</v>
      </c>
      <c r="S72" s="54"/>
      <c r="T72" s="50">
        <f>T170</f>
        <v>2396278.68</v>
      </c>
      <c r="U72" s="59"/>
      <c r="V72" s="50"/>
      <c r="W72" s="50">
        <f>W170</f>
        <v>3233652.68</v>
      </c>
      <c r="AA72" s="128">
        <f>AA170</f>
        <v>1073053.32</v>
      </c>
      <c r="AB72" s="129"/>
      <c r="AC72" s="134"/>
      <c r="AD72" s="134">
        <f>AA72+AC72</f>
        <v>1073053.32</v>
      </c>
    </row>
    <row r="73" spans="1:30" s="49" customFormat="1" ht="15">
      <c r="A73" s="49" t="s">
        <v>19</v>
      </c>
      <c r="C73" s="221"/>
      <c r="D73" s="233"/>
      <c r="E73" s="220">
        <v>-1477245</v>
      </c>
      <c r="F73" s="220">
        <f>C73+E73+E74</f>
        <v>-1487980</v>
      </c>
      <c r="G73" s="50"/>
      <c r="H73" s="58"/>
      <c r="I73" s="156">
        <v>-33118582</v>
      </c>
      <c r="J73" s="183"/>
      <c r="K73" s="162">
        <f>+E73</f>
        <v>-1477245</v>
      </c>
      <c r="L73" s="162">
        <f>I73+K73+K74+K75+K76+K77</f>
        <v>-34993322</v>
      </c>
      <c r="M73" s="50"/>
      <c r="N73" s="54"/>
      <c r="O73" s="104">
        <v>-33118582</v>
      </c>
      <c r="P73" s="204"/>
      <c r="Q73" s="110"/>
      <c r="R73" s="110">
        <f>O73+Q73+Q74+Q75+Q76+Q77+Q78</f>
        <v>-33118582</v>
      </c>
      <c r="S73" s="54"/>
      <c r="T73" s="54">
        <v>-33118582</v>
      </c>
      <c r="U73" s="81"/>
      <c r="V73" s="50">
        <f>+Q73</f>
        <v>0</v>
      </c>
      <c r="W73" s="50">
        <f>T73+V73+V74+V75+V76+V77+V78</f>
        <v>-36029849</v>
      </c>
      <c r="AA73" s="128">
        <v>-34621705.12</v>
      </c>
      <c r="AB73" s="129"/>
      <c r="AC73" s="134"/>
      <c r="AD73" s="134">
        <f>AA73+AC73</f>
        <v>-34621705.12</v>
      </c>
    </row>
    <row r="74" spans="3:30" s="49" customFormat="1" ht="15">
      <c r="C74" s="221"/>
      <c r="D74" s="237"/>
      <c r="E74" s="238">
        <v>-10735</v>
      </c>
      <c r="F74" s="220"/>
      <c r="G74" s="50"/>
      <c r="H74" s="58"/>
      <c r="I74" s="156"/>
      <c r="J74" s="179"/>
      <c r="K74" s="162">
        <v>-357780</v>
      </c>
      <c r="L74" s="162"/>
      <c r="M74" s="50"/>
      <c r="N74" s="54"/>
      <c r="O74" s="104"/>
      <c r="P74" s="201"/>
      <c r="Q74" s="118"/>
      <c r="R74" s="110"/>
      <c r="S74" s="54"/>
      <c r="T74" s="54"/>
      <c r="U74" s="83"/>
      <c r="V74" s="74">
        <f>+Q74</f>
        <v>0</v>
      </c>
      <c r="W74" s="50"/>
      <c r="AA74" s="128"/>
      <c r="AB74" s="129"/>
      <c r="AC74" s="142"/>
      <c r="AD74" s="134"/>
    </row>
    <row r="75" spans="3:30" s="49" customFormat="1" ht="15">
      <c r="C75" s="221"/>
      <c r="D75" s="239"/>
      <c r="E75" s="220"/>
      <c r="F75" s="220"/>
      <c r="G75" s="50"/>
      <c r="H75" s="58"/>
      <c r="I75" s="156"/>
      <c r="J75" s="184"/>
      <c r="K75" s="185">
        <v>-10735</v>
      </c>
      <c r="L75" s="162"/>
      <c r="M75" s="50"/>
      <c r="N75" s="54"/>
      <c r="O75" s="104"/>
      <c r="P75" s="207"/>
      <c r="Q75" s="110"/>
      <c r="R75" s="110"/>
      <c r="S75" s="54"/>
      <c r="T75" s="54"/>
      <c r="U75" s="86"/>
      <c r="V75" s="50">
        <f>+Q75</f>
        <v>0</v>
      </c>
      <c r="W75" s="50"/>
      <c r="AA75" s="128"/>
      <c r="AB75" s="129"/>
      <c r="AC75" s="134"/>
      <c r="AD75" s="134"/>
    </row>
    <row r="76" spans="3:30" s="49" customFormat="1" ht="15">
      <c r="C76" s="221"/>
      <c r="D76" s="239"/>
      <c r="E76" s="220"/>
      <c r="F76" s="220"/>
      <c r="G76" s="50"/>
      <c r="H76" s="58"/>
      <c r="I76" s="156"/>
      <c r="J76" s="184"/>
      <c r="K76" s="185">
        <v>-10735</v>
      </c>
      <c r="L76" s="162"/>
      <c r="M76" s="50"/>
      <c r="N76" s="54"/>
      <c r="O76" s="104"/>
      <c r="P76" s="205"/>
      <c r="Q76" s="122"/>
      <c r="R76" s="110"/>
      <c r="S76" s="54"/>
      <c r="T76" s="54"/>
      <c r="U76" s="94"/>
      <c r="V76" s="95">
        <v>-2622070</v>
      </c>
      <c r="W76" s="50"/>
      <c r="AA76" s="128"/>
      <c r="AB76" s="129"/>
      <c r="AC76" s="147"/>
      <c r="AD76" s="134"/>
    </row>
    <row r="77" spans="3:30" s="49" customFormat="1" ht="15">
      <c r="C77" s="221"/>
      <c r="D77" s="239"/>
      <c r="E77" s="220"/>
      <c r="F77" s="220"/>
      <c r="G77" s="50"/>
      <c r="H77" s="58"/>
      <c r="I77" s="156"/>
      <c r="J77" s="186"/>
      <c r="K77" s="187">
        <v>-18245</v>
      </c>
      <c r="L77" s="162"/>
      <c r="M77" s="50"/>
      <c r="N77" s="54"/>
      <c r="O77" s="104"/>
      <c r="P77" s="205"/>
      <c r="Q77" s="122"/>
      <c r="R77" s="110"/>
      <c r="S77" s="54"/>
      <c r="T77" s="54"/>
      <c r="U77" s="87"/>
      <c r="V77" s="88">
        <f>-V69-V107</f>
        <v>-259864</v>
      </c>
      <c r="W77" s="50"/>
      <c r="AA77" s="128"/>
      <c r="AB77" s="129"/>
      <c r="AC77" s="147"/>
      <c r="AD77" s="134"/>
    </row>
    <row r="78" spans="3:30" s="49" customFormat="1" ht="15">
      <c r="C78" s="221"/>
      <c r="D78" s="239"/>
      <c r="E78" s="220"/>
      <c r="F78" s="220"/>
      <c r="G78" s="50"/>
      <c r="H78" s="58"/>
      <c r="I78" s="156"/>
      <c r="J78" s="186"/>
      <c r="K78" s="187"/>
      <c r="L78" s="162"/>
      <c r="M78" s="50"/>
      <c r="N78" s="54"/>
      <c r="O78" s="104"/>
      <c r="P78" s="208"/>
      <c r="Q78" s="124"/>
      <c r="R78" s="110"/>
      <c r="S78" s="54"/>
      <c r="T78" s="54"/>
      <c r="U78" s="92"/>
      <c r="V78" s="93">
        <f>+Q78-V108</f>
        <v>-29333</v>
      </c>
      <c r="W78" s="50"/>
      <c r="AA78" s="128"/>
      <c r="AB78" s="129"/>
      <c r="AC78" s="149"/>
      <c r="AD78" s="134"/>
    </row>
    <row r="79" spans="1:30" s="49" customFormat="1" ht="15">
      <c r="A79" s="49" t="s">
        <v>22</v>
      </c>
      <c r="C79" s="221"/>
      <c r="D79" s="221"/>
      <c r="E79" s="220"/>
      <c r="F79" s="220">
        <f>C79+E79</f>
        <v>0</v>
      </c>
      <c r="G79" s="50"/>
      <c r="H79" s="58"/>
      <c r="I79" s="156">
        <v>-1453400</v>
      </c>
      <c r="J79" s="168"/>
      <c r="K79" s="162"/>
      <c r="L79" s="162">
        <f t="shared" si="10"/>
        <v>-1453400</v>
      </c>
      <c r="M79" s="50"/>
      <c r="N79" s="54"/>
      <c r="O79" s="104">
        <v>-2015400</v>
      </c>
      <c r="P79" s="115"/>
      <c r="Q79" s="110"/>
      <c r="R79" s="110">
        <f>O79+Q79</f>
        <v>-2015400</v>
      </c>
      <c r="S79" s="54"/>
      <c r="T79" s="54">
        <v>-2890400</v>
      </c>
      <c r="U79" s="57"/>
      <c r="V79" s="50"/>
      <c r="W79" s="50">
        <f>T79+V79</f>
        <v>-2890400</v>
      </c>
      <c r="AA79" s="128">
        <v>-6665095.77</v>
      </c>
      <c r="AB79" s="129"/>
      <c r="AC79" s="134"/>
      <c r="AD79" s="134">
        <f aca="true" t="shared" si="11" ref="AD79:AD84">AA79+AC79</f>
        <v>-6665095.77</v>
      </c>
    </row>
    <row r="80" spans="1:30" s="49" customFormat="1" ht="15">
      <c r="A80" s="49" t="s">
        <v>23</v>
      </c>
      <c r="C80" s="221"/>
      <c r="D80" s="221"/>
      <c r="E80" s="220"/>
      <c r="F80" s="220">
        <f>C80+E80</f>
        <v>0</v>
      </c>
      <c r="G80" s="50"/>
      <c r="H80" s="58"/>
      <c r="I80" s="156">
        <v>-16062</v>
      </c>
      <c r="J80" s="168"/>
      <c r="K80" s="162"/>
      <c r="L80" s="162">
        <f t="shared" si="10"/>
        <v>-16062</v>
      </c>
      <c r="M80" s="50"/>
      <c r="N80" s="54"/>
      <c r="O80" s="104">
        <v>-16062</v>
      </c>
      <c r="P80" s="115"/>
      <c r="Q80" s="110"/>
      <c r="R80" s="110">
        <f>O80+Q80</f>
        <v>-16062</v>
      </c>
      <c r="S80" s="54"/>
      <c r="T80" s="54">
        <v>-16062</v>
      </c>
      <c r="U80" s="94"/>
      <c r="V80" s="95">
        <v>1174514</v>
      </c>
      <c r="W80" s="50">
        <f>T80+V80</f>
        <v>1158452</v>
      </c>
      <c r="AA80" s="128">
        <v>1158452</v>
      </c>
      <c r="AB80" s="129"/>
      <c r="AC80" s="134"/>
      <c r="AD80" s="134">
        <f t="shared" si="11"/>
        <v>1158452</v>
      </c>
    </row>
    <row r="81" spans="1:30" s="49" customFormat="1" ht="15">
      <c r="A81" s="49" t="s">
        <v>24</v>
      </c>
      <c r="C81" s="221"/>
      <c r="D81" s="233"/>
      <c r="E81" s="220">
        <v>1473240</v>
      </c>
      <c r="F81" s="220">
        <f>C81+E81</f>
        <v>1473240</v>
      </c>
      <c r="G81" s="50"/>
      <c r="H81" s="58"/>
      <c r="I81" s="156">
        <v>-442127.5</v>
      </c>
      <c r="J81" s="183"/>
      <c r="K81" s="162">
        <v>1473240</v>
      </c>
      <c r="L81" s="162">
        <f t="shared" si="10"/>
        <v>1031112.5</v>
      </c>
      <c r="M81" s="50"/>
      <c r="N81" s="54"/>
      <c r="O81" s="104">
        <v>-442127.5</v>
      </c>
      <c r="P81" s="204"/>
      <c r="Q81" s="110"/>
      <c r="R81" s="110">
        <f>O81+Q81</f>
        <v>-442127.5</v>
      </c>
      <c r="S81" s="54"/>
      <c r="T81" s="54">
        <v>-442127.5</v>
      </c>
      <c r="U81" s="81"/>
      <c r="V81" s="50">
        <v>1473240</v>
      </c>
      <c r="W81" s="50">
        <f>T81+V81</f>
        <v>1031112.5</v>
      </c>
      <c r="AA81" s="128">
        <v>1021672.5</v>
      </c>
      <c r="AB81" s="129"/>
      <c r="AC81" s="134"/>
      <c r="AD81" s="134">
        <f t="shared" si="11"/>
        <v>1021672.5</v>
      </c>
    </row>
    <row r="82" spans="1:30" s="49" customFormat="1" ht="15">
      <c r="A82" s="49" t="s">
        <v>25</v>
      </c>
      <c r="C82" s="221"/>
      <c r="D82" s="221"/>
      <c r="E82" s="220"/>
      <c r="F82" s="220">
        <f>C82+E82</f>
        <v>0</v>
      </c>
      <c r="G82" s="50"/>
      <c r="H82" s="58"/>
      <c r="I82" s="156">
        <v>-50010.5</v>
      </c>
      <c r="J82" s="179"/>
      <c r="K82" s="162">
        <v>430243</v>
      </c>
      <c r="L82" s="162">
        <f t="shared" si="10"/>
        <v>380232.5</v>
      </c>
      <c r="M82" s="50"/>
      <c r="N82" s="54"/>
      <c r="O82" s="104">
        <v>-50010.5</v>
      </c>
      <c r="P82" s="201"/>
      <c r="Q82" s="118"/>
      <c r="R82" s="110">
        <f>O82+Q82</f>
        <v>-50010.5</v>
      </c>
      <c r="S82" s="54"/>
      <c r="T82" s="54">
        <v>-184020.5</v>
      </c>
      <c r="U82" s="83"/>
      <c r="V82" s="74">
        <f>+Q82</f>
        <v>0</v>
      </c>
      <c r="W82" s="50">
        <f>T82+V82</f>
        <v>-184020.5</v>
      </c>
      <c r="AA82" s="128">
        <v>246222.5</v>
      </c>
      <c r="AB82" s="129"/>
      <c r="AC82" s="142"/>
      <c r="AD82" s="134">
        <f t="shared" si="11"/>
        <v>246222.5</v>
      </c>
    </row>
    <row r="83" spans="1:30" s="49" customFormat="1" ht="15">
      <c r="A83" s="49" t="s">
        <v>21</v>
      </c>
      <c r="C83" s="221"/>
      <c r="D83" s="221"/>
      <c r="E83" s="221"/>
      <c r="F83" s="221">
        <f>C83+E83</f>
        <v>0</v>
      </c>
      <c r="G83" s="57"/>
      <c r="H83" s="58"/>
      <c r="I83" s="167">
        <v>-21000</v>
      </c>
      <c r="J83" s="167"/>
      <c r="K83" s="168"/>
      <c r="L83" s="168">
        <f t="shared" si="10"/>
        <v>-21000</v>
      </c>
      <c r="M83" s="57"/>
      <c r="N83" s="54"/>
      <c r="O83" s="111">
        <v>-248525.48</v>
      </c>
      <c r="P83" s="207"/>
      <c r="Q83" s="115"/>
      <c r="R83" s="115">
        <f>O83+Q83+Q84</f>
        <v>-248525.48</v>
      </c>
      <c r="S83" s="54"/>
      <c r="T83" s="61">
        <v>-340525.48</v>
      </c>
      <c r="U83" s="86"/>
      <c r="V83" s="57">
        <f>+Q83</f>
        <v>0</v>
      </c>
      <c r="W83" s="57">
        <f>T83+V83</f>
        <v>-340525.48</v>
      </c>
      <c r="AA83" s="135">
        <v>420998.29</v>
      </c>
      <c r="AB83" s="129"/>
      <c r="AC83" s="139"/>
      <c r="AD83" s="134">
        <f t="shared" si="11"/>
        <v>420998.29</v>
      </c>
    </row>
    <row r="84" spans="1:30" s="78" customFormat="1" ht="15">
      <c r="A84" s="78" t="s">
        <v>199</v>
      </c>
      <c r="C84" s="222"/>
      <c r="D84" s="221"/>
      <c r="E84" s="222"/>
      <c r="F84" s="222"/>
      <c r="G84" s="57"/>
      <c r="H84" s="79"/>
      <c r="I84" s="173"/>
      <c r="J84" s="167"/>
      <c r="K84" s="165"/>
      <c r="L84" s="165"/>
      <c r="M84" s="57"/>
      <c r="N84" s="61"/>
      <c r="O84" s="112"/>
      <c r="P84" s="207"/>
      <c r="Q84" s="113"/>
      <c r="R84" s="113"/>
      <c r="S84" s="61"/>
      <c r="T84" s="65"/>
      <c r="U84" s="87"/>
      <c r="V84" s="96"/>
      <c r="W84" s="63">
        <f>+V84</f>
        <v>0</v>
      </c>
      <c r="AA84" s="136">
        <v>42500</v>
      </c>
      <c r="AB84" s="144"/>
      <c r="AC84" s="137"/>
      <c r="AD84" s="137">
        <f t="shared" si="11"/>
        <v>42500</v>
      </c>
    </row>
    <row r="85" spans="3:30" s="49" customFormat="1" ht="16.5">
      <c r="C85" s="154">
        <f>SUM(C58:C83)</f>
        <v>0</v>
      </c>
      <c r="D85" s="155"/>
      <c r="E85" s="154">
        <f>SUM(E58:E83)</f>
        <v>-14740</v>
      </c>
      <c r="F85" s="154">
        <f>SUM(F58:F83)</f>
        <v>78070.1499999999</v>
      </c>
      <c r="G85" s="97" t="s">
        <v>102</v>
      </c>
      <c r="H85" s="58"/>
      <c r="I85" s="156">
        <f>SUM(I58:I83)</f>
        <v>-5531341.689999998</v>
      </c>
      <c r="J85" s="156"/>
      <c r="K85" s="156">
        <f>SUM(K58:K83)</f>
        <v>6457566</v>
      </c>
      <c r="L85" s="156">
        <f>SUM(L58:L83)</f>
        <v>904901.3100000024</v>
      </c>
      <c r="M85" s="97"/>
      <c r="N85" s="54"/>
      <c r="O85" s="104">
        <f>SUM(O58:O83)</f>
        <v>-5598567.060000002</v>
      </c>
      <c r="P85" s="104"/>
      <c r="Q85" s="104">
        <f>SUM(Q58:Q83)</f>
        <v>0</v>
      </c>
      <c r="R85" s="104">
        <f>SUM(R58:R84)</f>
        <v>-5598567.060000002</v>
      </c>
      <c r="S85" s="97"/>
      <c r="T85" s="54">
        <f>SUM(T58:T83)</f>
        <v>-4303298.379999999</v>
      </c>
      <c r="V85" s="54">
        <f>SUM(V58:V84)</f>
        <v>6235271</v>
      </c>
      <c r="W85" s="54">
        <f>SUM(W58:W84)</f>
        <v>2769346.6200000015</v>
      </c>
      <c r="X85" s="97" t="s">
        <v>102</v>
      </c>
      <c r="AA85" s="248">
        <f>SUM(AA58:AA84)</f>
        <v>857885.2200000035</v>
      </c>
      <c r="AB85" s="247"/>
      <c r="AC85" s="248"/>
      <c r="AD85" s="248">
        <f>SUM(AD58:AD84)</f>
        <v>857885.2200000035</v>
      </c>
    </row>
    <row r="86" spans="3:30" s="49" customFormat="1" ht="15">
      <c r="C86" s="220"/>
      <c r="D86" s="221"/>
      <c r="E86" s="220"/>
      <c r="F86" s="220"/>
      <c r="G86" s="50"/>
      <c r="H86" s="58"/>
      <c r="I86" s="156"/>
      <c r="J86" s="156"/>
      <c r="K86" s="162"/>
      <c r="L86" s="162"/>
      <c r="M86" s="50"/>
      <c r="N86" s="54"/>
      <c r="O86" s="104"/>
      <c r="P86" s="104"/>
      <c r="Q86" s="110"/>
      <c r="R86" s="110"/>
      <c r="S86" s="54"/>
      <c r="T86" s="54"/>
      <c r="V86" s="50"/>
      <c r="W86" s="50"/>
      <c r="AA86" s="128"/>
      <c r="AB86" s="129"/>
      <c r="AC86" s="134"/>
      <c r="AD86" s="134"/>
    </row>
    <row r="87" spans="1:30" s="244" customFormat="1" ht="16.5">
      <c r="A87" s="244" t="s">
        <v>109</v>
      </c>
      <c r="C87" s="211" t="e">
        <f>C85+C56+C45+C40+C32+C29+C14+C10+#REF!</f>
        <v>#REF!</v>
      </c>
      <c r="D87" s="212"/>
      <c r="E87" s="211"/>
      <c r="F87" s="211" t="e">
        <f>F85+F56+F45+F40+F32+F29+F14+F10+#REF!</f>
        <v>#REF!</v>
      </c>
      <c r="G87" s="211"/>
      <c r="H87" s="245"/>
      <c r="I87" s="211" t="e">
        <f>I85+I56+I45+I40+I32+I29+I14+I10+#REF!</f>
        <v>#REF!</v>
      </c>
      <c r="J87" s="211"/>
      <c r="K87" s="211"/>
      <c r="L87" s="211" t="e">
        <f>L85+L56+L45+L40+L32+L29+L14+L10+#REF!</f>
        <v>#REF!</v>
      </c>
      <c r="M87" s="211"/>
      <c r="N87" s="211"/>
      <c r="O87" s="211" t="e">
        <f>O85+O56+O45+O40+O32+O29+O14+O10+#REF!</f>
        <v>#REF!</v>
      </c>
      <c r="P87" s="211"/>
      <c r="Q87" s="211"/>
      <c r="R87" s="211" t="e">
        <f>R85+R56+R45+R40+R32+R29+R14+R10+#REF!+R47</f>
        <v>#REF!</v>
      </c>
      <c r="S87" s="211"/>
      <c r="T87" s="211" t="e">
        <f>T85+T56+T45+T40+T32+T29+T14+T10+#REF!</f>
        <v>#REF!</v>
      </c>
      <c r="V87" s="211"/>
      <c r="W87" s="211" t="e">
        <f>W85+W56+W45+W40+W32+W29+W14+W10+#REF!</f>
        <v>#REF!</v>
      </c>
      <c r="AA87" s="211">
        <f>AA85+AA56+AA45+AA40+AA32</f>
        <v>3.434251993894577E-09</v>
      </c>
      <c r="AC87" s="211"/>
      <c r="AD87" s="211"/>
    </row>
    <row r="88" spans="3:30" s="49" customFormat="1" ht="15">
      <c r="C88" s="220"/>
      <c r="D88" s="221"/>
      <c r="E88" s="220"/>
      <c r="F88" s="220"/>
      <c r="G88" s="50"/>
      <c r="H88" s="58"/>
      <c r="I88" s="156"/>
      <c r="J88" s="156"/>
      <c r="K88" s="162"/>
      <c r="L88" s="162"/>
      <c r="M88" s="50"/>
      <c r="N88" s="54"/>
      <c r="O88" s="104"/>
      <c r="P88" s="104"/>
      <c r="Q88" s="110"/>
      <c r="R88" s="110"/>
      <c r="S88" s="54"/>
      <c r="T88" s="54"/>
      <c r="V88" s="50"/>
      <c r="W88" s="50"/>
      <c r="AA88" s="128"/>
      <c r="AB88" s="129"/>
      <c r="AC88" s="134"/>
      <c r="AD88" s="134"/>
    </row>
    <row r="89" spans="1:30" s="49" customFormat="1" ht="15">
      <c r="A89" s="49" t="s">
        <v>200</v>
      </c>
      <c r="C89" s="220">
        <v>0</v>
      </c>
      <c r="D89" s="221"/>
      <c r="E89" s="220"/>
      <c r="F89" s="220">
        <f aca="true" t="shared" si="12" ref="F89:F165">C89+E89</f>
        <v>0</v>
      </c>
      <c r="G89" s="50"/>
      <c r="H89" s="58"/>
      <c r="I89" s="169">
        <v>0</v>
      </c>
      <c r="J89" s="169"/>
      <c r="K89" s="162"/>
      <c r="L89" s="162">
        <f aca="true" t="shared" si="13" ref="L89:L165">I89+K89</f>
        <v>0</v>
      </c>
      <c r="M89" s="50"/>
      <c r="N89" s="54"/>
      <c r="O89" s="117">
        <v>0</v>
      </c>
      <c r="P89" s="117"/>
      <c r="Q89" s="110"/>
      <c r="R89" s="110">
        <f aca="true" t="shared" si="14" ref="R89:R165">O89+Q89</f>
        <v>0</v>
      </c>
      <c r="S89" s="54"/>
      <c r="T89" s="54">
        <v>2019</v>
      </c>
      <c r="V89" s="50"/>
      <c r="W89" s="50">
        <f aca="true" t="shared" si="15" ref="W89:W165">T89+V89</f>
        <v>2019</v>
      </c>
      <c r="AA89" s="134">
        <v>15000</v>
      </c>
      <c r="AB89" s="129"/>
      <c r="AC89" s="134"/>
      <c r="AD89" s="134">
        <f aca="true" t="shared" si="16" ref="AD89:AD94">AA89+AC89</f>
        <v>15000</v>
      </c>
    </row>
    <row r="90" spans="1:30" s="49" customFormat="1" ht="15">
      <c r="A90" s="49" t="s">
        <v>201</v>
      </c>
      <c r="C90" s="220">
        <v>0</v>
      </c>
      <c r="D90" s="221"/>
      <c r="E90" s="220"/>
      <c r="F90" s="220">
        <f t="shared" si="12"/>
        <v>0</v>
      </c>
      <c r="G90" s="50"/>
      <c r="H90" s="58"/>
      <c r="I90" s="169">
        <v>0</v>
      </c>
      <c r="J90" s="169"/>
      <c r="K90" s="162"/>
      <c r="L90" s="162">
        <f t="shared" si="13"/>
        <v>0</v>
      </c>
      <c r="M90" s="50"/>
      <c r="N90" s="54"/>
      <c r="O90" s="117">
        <v>0</v>
      </c>
      <c r="P90" s="117"/>
      <c r="Q90" s="110"/>
      <c r="R90" s="110">
        <f t="shared" si="14"/>
        <v>0</v>
      </c>
      <c r="S90" s="54"/>
      <c r="T90" s="54">
        <v>40</v>
      </c>
      <c r="V90" s="50"/>
      <c r="W90" s="50">
        <f t="shared" si="15"/>
        <v>40</v>
      </c>
      <c r="AA90" s="134">
        <v>1532.47</v>
      </c>
      <c r="AB90" s="129"/>
      <c r="AC90" s="134"/>
      <c r="AD90" s="134">
        <f t="shared" si="16"/>
        <v>1532.47</v>
      </c>
    </row>
    <row r="91" spans="1:30" s="49" customFormat="1" ht="15">
      <c r="A91" s="49" t="s">
        <v>92</v>
      </c>
      <c r="C91" s="220">
        <v>0</v>
      </c>
      <c r="D91" s="238"/>
      <c r="E91" s="219"/>
      <c r="F91" s="220">
        <f t="shared" si="12"/>
        <v>0</v>
      </c>
      <c r="G91" s="50"/>
      <c r="H91" s="58"/>
      <c r="I91" s="169">
        <v>0</v>
      </c>
      <c r="J91" s="169"/>
      <c r="K91" s="162"/>
      <c r="L91" s="162">
        <f t="shared" si="13"/>
        <v>0</v>
      </c>
      <c r="M91" s="50"/>
      <c r="N91" s="54"/>
      <c r="O91" s="117">
        <v>0</v>
      </c>
      <c r="P91" s="117"/>
      <c r="Q91" s="110"/>
      <c r="R91" s="110">
        <f t="shared" si="14"/>
        <v>0</v>
      </c>
      <c r="S91" s="54"/>
      <c r="T91" s="54">
        <v>-108.82</v>
      </c>
      <c r="V91" s="50"/>
      <c r="W91" s="50">
        <f t="shared" si="15"/>
        <v>-108.82</v>
      </c>
      <c r="AA91" s="134">
        <v>75131</v>
      </c>
      <c r="AB91" s="129"/>
      <c r="AC91" s="134"/>
      <c r="AD91" s="134">
        <f t="shared" si="16"/>
        <v>75131</v>
      </c>
    </row>
    <row r="92" spans="1:30" s="49" customFormat="1" ht="15">
      <c r="A92" s="49" t="s">
        <v>91</v>
      </c>
      <c r="C92" s="220">
        <v>0</v>
      </c>
      <c r="D92" s="221"/>
      <c r="E92" s="220"/>
      <c r="F92" s="220">
        <f t="shared" si="12"/>
        <v>0</v>
      </c>
      <c r="G92" s="50"/>
      <c r="H92" s="58"/>
      <c r="I92" s="169">
        <v>0</v>
      </c>
      <c r="J92" s="169"/>
      <c r="K92" s="162"/>
      <c r="L92" s="162">
        <f t="shared" si="13"/>
        <v>0</v>
      </c>
      <c r="M92" s="50"/>
      <c r="N92" s="54"/>
      <c r="O92" s="117">
        <v>0</v>
      </c>
      <c r="P92" s="117"/>
      <c r="Q92" s="110"/>
      <c r="R92" s="110">
        <f t="shared" si="14"/>
        <v>0</v>
      </c>
      <c r="S92" s="54"/>
      <c r="T92" s="54">
        <v>8250</v>
      </c>
      <c r="V92" s="50"/>
      <c r="W92" s="50">
        <f t="shared" si="15"/>
        <v>8250</v>
      </c>
      <c r="AA92" s="134">
        <v>50627.56</v>
      </c>
      <c r="AB92" s="129"/>
      <c r="AC92" s="134"/>
      <c r="AD92" s="134">
        <f t="shared" si="16"/>
        <v>50627.56</v>
      </c>
    </row>
    <row r="93" spans="1:30" s="49" customFormat="1" ht="15">
      <c r="A93" s="49" t="s">
        <v>187</v>
      </c>
      <c r="C93" s="220">
        <v>0</v>
      </c>
      <c r="D93" s="221"/>
      <c r="E93" s="220"/>
      <c r="F93" s="220">
        <f t="shared" si="12"/>
        <v>0</v>
      </c>
      <c r="G93" s="50"/>
      <c r="H93" s="58"/>
      <c r="I93" s="169">
        <v>0</v>
      </c>
      <c r="J93" s="169"/>
      <c r="K93" s="162"/>
      <c r="L93" s="162">
        <f t="shared" si="13"/>
        <v>0</v>
      </c>
      <c r="M93" s="50"/>
      <c r="N93" s="54"/>
      <c r="O93" s="117">
        <v>0</v>
      </c>
      <c r="P93" s="117"/>
      <c r="Q93" s="110"/>
      <c r="R93" s="110">
        <f t="shared" si="14"/>
        <v>0</v>
      </c>
      <c r="S93" s="60"/>
      <c r="T93" s="54">
        <v>838761.79</v>
      </c>
      <c r="U93" s="82"/>
      <c r="V93" s="50">
        <v>-938762</v>
      </c>
      <c r="W93" s="50">
        <f>T93+V93+V94</f>
        <v>-0.2099999999627471</v>
      </c>
      <c r="AA93" s="134">
        <v>7230</v>
      </c>
      <c r="AB93" s="129"/>
      <c r="AC93" s="134"/>
      <c r="AD93" s="134">
        <f t="shared" si="16"/>
        <v>7230</v>
      </c>
    </row>
    <row r="94" spans="1:30" s="49" customFormat="1" ht="15">
      <c r="A94" s="49" t="s">
        <v>161</v>
      </c>
      <c r="C94" s="220"/>
      <c r="D94" s="221"/>
      <c r="E94" s="220"/>
      <c r="F94" s="220"/>
      <c r="G94" s="50"/>
      <c r="H94" s="58"/>
      <c r="I94" s="169"/>
      <c r="J94" s="169"/>
      <c r="K94" s="162"/>
      <c r="L94" s="162"/>
      <c r="M94" s="50"/>
      <c r="N94" s="54"/>
      <c r="O94" s="117"/>
      <c r="P94" s="117"/>
      <c r="Q94" s="110"/>
      <c r="R94" s="110"/>
      <c r="S94" s="54"/>
      <c r="T94" s="54"/>
      <c r="U94" s="82"/>
      <c r="V94" s="50">
        <v>100000</v>
      </c>
      <c r="W94" s="50"/>
      <c r="AA94" s="134">
        <v>1120.8</v>
      </c>
      <c r="AB94" s="129"/>
      <c r="AC94" s="134"/>
      <c r="AD94" s="134">
        <f t="shared" si="16"/>
        <v>1120.8</v>
      </c>
    </row>
    <row r="95" spans="1:30" s="49" customFormat="1" ht="15">
      <c r="A95" s="49" t="s">
        <v>90</v>
      </c>
      <c r="C95" s="220">
        <v>0</v>
      </c>
      <c r="D95" s="221"/>
      <c r="E95" s="220"/>
      <c r="F95" s="220">
        <f t="shared" si="12"/>
        <v>0</v>
      </c>
      <c r="G95" s="50"/>
      <c r="H95" s="58"/>
      <c r="I95" s="169">
        <v>0</v>
      </c>
      <c r="J95" s="169"/>
      <c r="K95" s="162"/>
      <c r="L95" s="162">
        <f t="shared" si="13"/>
        <v>0</v>
      </c>
      <c r="M95" s="50"/>
      <c r="N95" s="54"/>
      <c r="O95" s="117">
        <v>0</v>
      </c>
      <c r="P95" s="117"/>
      <c r="Q95" s="110"/>
      <c r="R95" s="110">
        <f t="shared" si="14"/>
        <v>0</v>
      </c>
      <c r="S95" s="54"/>
      <c r="T95" s="54">
        <v>1160</v>
      </c>
      <c r="V95" s="50"/>
      <c r="W95" s="50">
        <f t="shared" si="15"/>
        <v>1160</v>
      </c>
      <c r="AA95" s="134"/>
      <c r="AB95" s="129"/>
      <c r="AC95" s="134"/>
      <c r="AD95" s="134">
        <f aca="true" t="shared" si="17" ref="AD95:AD108">AA95+AC95</f>
        <v>0</v>
      </c>
    </row>
    <row r="96" spans="1:30" s="49" customFormat="1" ht="15">
      <c r="A96" s="49" t="s">
        <v>50</v>
      </c>
      <c r="C96" s="220">
        <v>0</v>
      </c>
      <c r="D96" s="221"/>
      <c r="E96" s="220"/>
      <c r="F96" s="220">
        <f t="shared" si="12"/>
        <v>0</v>
      </c>
      <c r="G96" s="50"/>
      <c r="H96" s="58"/>
      <c r="I96" s="169">
        <v>0</v>
      </c>
      <c r="J96" s="169"/>
      <c r="K96" s="162"/>
      <c r="L96" s="162">
        <f t="shared" si="13"/>
        <v>0</v>
      </c>
      <c r="M96" s="50"/>
      <c r="N96" s="54"/>
      <c r="O96" s="117">
        <v>0</v>
      </c>
      <c r="P96" s="117"/>
      <c r="Q96" s="110"/>
      <c r="R96" s="110">
        <f t="shared" si="14"/>
        <v>0</v>
      </c>
      <c r="S96" s="54"/>
      <c r="T96" s="54">
        <v>300</v>
      </c>
      <c r="V96" s="50"/>
      <c r="W96" s="50">
        <f t="shared" si="15"/>
        <v>300</v>
      </c>
      <c r="AA96" s="134"/>
      <c r="AB96" s="129"/>
      <c r="AC96" s="134"/>
      <c r="AD96" s="134">
        <f t="shared" si="17"/>
        <v>0</v>
      </c>
    </row>
    <row r="97" spans="1:30" s="49" customFormat="1" ht="15">
      <c r="A97" s="49" t="s">
        <v>163</v>
      </c>
      <c r="C97" s="220">
        <v>0</v>
      </c>
      <c r="D97" s="221"/>
      <c r="E97" s="220"/>
      <c r="F97" s="220">
        <f t="shared" si="12"/>
        <v>0</v>
      </c>
      <c r="G97" s="50"/>
      <c r="H97" s="58"/>
      <c r="I97" s="169">
        <v>0</v>
      </c>
      <c r="J97" s="169"/>
      <c r="K97" s="162"/>
      <c r="L97" s="162">
        <f t="shared" si="13"/>
        <v>0</v>
      </c>
      <c r="M97" s="50"/>
      <c r="N97" s="54"/>
      <c r="O97" s="117">
        <v>0</v>
      </c>
      <c r="P97" s="117"/>
      <c r="Q97" s="110"/>
      <c r="R97" s="110">
        <f t="shared" si="14"/>
        <v>0</v>
      </c>
      <c r="S97" s="54"/>
      <c r="T97" s="54">
        <v>268.22</v>
      </c>
      <c r="V97" s="50"/>
      <c r="W97" s="50">
        <f t="shared" si="15"/>
        <v>268.22</v>
      </c>
      <c r="AA97" s="134">
        <v>2827.05</v>
      </c>
      <c r="AB97" s="129"/>
      <c r="AC97" s="134"/>
      <c r="AD97" s="134">
        <f t="shared" si="17"/>
        <v>2827.05</v>
      </c>
    </row>
    <row r="98" spans="1:30" s="49" customFormat="1" ht="15">
      <c r="A98" s="49" t="s">
        <v>88</v>
      </c>
      <c r="C98" s="220">
        <v>0</v>
      </c>
      <c r="D98" s="221"/>
      <c r="E98" s="220"/>
      <c r="F98" s="220">
        <f t="shared" si="12"/>
        <v>0</v>
      </c>
      <c r="G98" s="50"/>
      <c r="H98" s="58"/>
      <c r="I98" s="169">
        <v>0</v>
      </c>
      <c r="J98" s="169"/>
      <c r="K98" s="162"/>
      <c r="L98" s="162">
        <f t="shared" si="13"/>
        <v>0</v>
      </c>
      <c r="M98" s="50"/>
      <c r="N98" s="54"/>
      <c r="O98" s="117">
        <v>0</v>
      </c>
      <c r="P98" s="117"/>
      <c r="Q98" s="110"/>
      <c r="R98" s="110">
        <f t="shared" si="14"/>
        <v>0</v>
      </c>
      <c r="S98" s="54"/>
      <c r="T98" s="54">
        <v>0</v>
      </c>
      <c r="V98" s="50"/>
      <c r="W98" s="50">
        <f t="shared" si="15"/>
        <v>0</v>
      </c>
      <c r="AA98" s="134"/>
      <c r="AB98" s="129"/>
      <c r="AC98" s="134"/>
      <c r="AD98" s="134">
        <f t="shared" si="17"/>
        <v>0</v>
      </c>
    </row>
    <row r="99" spans="1:30" s="49" customFormat="1" ht="15">
      <c r="A99" s="49" t="s">
        <v>87</v>
      </c>
      <c r="C99" s="220">
        <v>0</v>
      </c>
      <c r="D99" s="221"/>
      <c r="E99" s="220"/>
      <c r="F99" s="220">
        <f t="shared" si="12"/>
        <v>0</v>
      </c>
      <c r="G99" s="50"/>
      <c r="H99" s="58"/>
      <c r="I99" s="169">
        <v>0</v>
      </c>
      <c r="J99" s="169"/>
      <c r="K99" s="162"/>
      <c r="L99" s="162">
        <f t="shared" si="13"/>
        <v>0</v>
      </c>
      <c r="M99" s="50"/>
      <c r="N99" s="54"/>
      <c r="O99" s="117">
        <v>0</v>
      </c>
      <c r="P99" s="117"/>
      <c r="Q99" s="110"/>
      <c r="R99" s="110">
        <f t="shared" si="14"/>
        <v>0</v>
      </c>
      <c r="S99" s="54"/>
      <c r="T99" s="54">
        <v>200.84</v>
      </c>
      <c r="V99" s="50"/>
      <c r="W99" s="50">
        <f t="shared" si="15"/>
        <v>200.84</v>
      </c>
      <c r="AA99" s="134"/>
      <c r="AB99" s="129"/>
      <c r="AC99" s="134"/>
      <c r="AD99" s="134">
        <f t="shared" si="17"/>
        <v>0</v>
      </c>
    </row>
    <row r="100" spans="1:30" s="49" customFormat="1" ht="15">
      <c r="A100" s="49" t="s">
        <v>86</v>
      </c>
      <c r="C100" s="220">
        <v>0</v>
      </c>
      <c r="D100" s="221"/>
      <c r="E100" s="220"/>
      <c r="F100" s="220">
        <f t="shared" si="12"/>
        <v>0</v>
      </c>
      <c r="G100" s="50"/>
      <c r="H100" s="58"/>
      <c r="I100" s="169">
        <v>0</v>
      </c>
      <c r="J100" s="169"/>
      <c r="K100" s="162"/>
      <c r="L100" s="162">
        <f t="shared" si="13"/>
        <v>0</v>
      </c>
      <c r="M100" s="50"/>
      <c r="N100" s="54"/>
      <c r="O100" s="117">
        <v>0</v>
      </c>
      <c r="P100" s="117"/>
      <c r="Q100" s="110"/>
      <c r="R100" s="110">
        <f t="shared" si="14"/>
        <v>0</v>
      </c>
      <c r="S100" s="54"/>
      <c r="T100" s="54">
        <v>1314.61</v>
      </c>
      <c r="V100" s="50"/>
      <c r="W100" s="50">
        <f t="shared" si="15"/>
        <v>1314.61</v>
      </c>
      <c r="AA100" s="134"/>
      <c r="AB100" s="129"/>
      <c r="AC100" s="134"/>
      <c r="AD100" s="134">
        <f t="shared" si="17"/>
        <v>0</v>
      </c>
    </row>
    <row r="101" spans="1:30" s="49" customFormat="1" ht="15">
      <c r="A101" s="49" t="s">
        <v>26</v>
      </c>
      <c r="C101" s="220">
        <v>0</v>
      </c>
      <c r="D101" s="221"/>
      <c r="E101" s="220"/>
      <c r="F101" s="220">
        <f t="shared" si="12"/>
        <v>0</v>
      </c>
      <c r="G101" s="50"/>
      <c r="H101" s="58"/>
      <c r="I101" s="156">
        <v>781</v>
      </c>
      <c r="J101" s="156"/>
      <c r="K101" s="162"/>
      <c r="L101" s="162">
        <f t="shared" si="13"/>
        <v>781</v>
      </c>
      <c r="M101" s="50"/>
      <c r="N101" s="54"/>
      <c r="O101" s="104">
        <v>1945.48</v>
      </c>
      <c r="P101" s="104"/>
      <c r="Q101" s="110"/>
      <c r="R101" s="110">
        <f t="shared" si="14"/>
        <v>1945.48</v>
      </c>
      <c r="S101" s="54"/>
      <c r="T101" s="54">
        <v>3702.7</v>
      </c>
      <c r="V101" s="50"/>
      <c r="W101" s="50">
        <f t="shared" si="15"/>
        <v>3702.7</v>
      </c>
      <c r="AA101" s="134">
        <v>193.2</v>
      </c>
      <c r="AB101" s="129"/>
      <c r="AC101" s="134"/>
      <c r="AD101" s="134">
        <f t="shared" si="17"/>
        <v>193.2</v>
      </c>
    </row>
    <row r="102" spans="1:30" s="49" customFormat="1" ht="15">
      <c r="A102" s="49" t="s">
        <v>79</v>
      </c>
      <c r="C102" s="220">
        <v>0</v>
      </c>
      <c r="D102" s="221"/>
      <c r="E102" s="220"/>
      <c r="F102" s="220">
        <f t="shared" si="12"/>
        <v>0</v>
      </c>
      <c r="G102" s="50"/>
      <c r="H102" s="58"/>
      <c r="I102" s="169">
        <v>0</v>
      </c>
      <c r="J102" s="169"/>
      <c r="K102" s="162"/>
      <c r="L102" s="162">
        <f t="shared" si="13"/>
        <v>0</v>
      </c>
      <c r="M102" s="50"/>
      <c r="N102" s="54"/>
      <c r="O102" s="104">
        <v>543.91</v>
      </c>
      <c r="P102" s="104"/>
      <c r="Q102" s="110"/>
      <c r="R102" s="110">
        <f t="shared" si="14"/>
        <v>543.91</v>
      </c>
      <c r="S102" s="54"/>
      <c r="T102" s="54">
        <v>753.78</v>
      </c>
      <c r="V102" s="50"/>
      <c r="W102" s="50">
        <f t="shared" si="15"/>
        <v>753.78</v>
      </c>
      <c r="AA102" s="134">
        <v>1268.81</v>
      </c>
      <c r="AB102" s="129"/>
      <c r="AC102" s="134"/>
      <c r="AD102" s="134">
        <f t="shared" si="17"/>
        <v>1268.81</v>
      </c>
    </row>
    <row r="103" spans="1:30" s="49" customFormat="1" ht="15">
      <c r="A103" s="49" t="s">
        <v>27</v>
      </c>
      <c r="C103" s="220">
        <v>89.17</v>
      </c>
      <c r="D103" s="221"/>
      <c r="E103" s="220"/>
      <c r="F103" s="220">
        <f t="shared" si="12"/>
        <v>89.17</v>
      </c>
      <c r="G103" s="50"/>
      <c r="H103" s="58"/>
      <c r="I103" s="156">
        <v>1525.44</v>
      </c>
      <c r="J103" s="156"/>
      <c r="K103" s="162"/>
      <c r="L103" s="162">
        <f t="shared" si="13"/>
        <v>1525.44</v>
      </c>
      <c r="M103" s="50"/>
      <c r="N103" s="54"/>
      <c r="O103" s="104">
        <v>3490.16</v>
      </c>
      <c r="P103" s="104"/>
      <c r="Q103" s="110"/>
      <c r="R103" s="110">
        <f t="shared" si="14"/>
        <v>3490.16</v>
      </c>
      <c r="S103" s="54"/>
      <c r="T103" s="54">
        <v>3218.38</v>
      </c>
      <c r="V103" s="50"/>
      <c r="W103" s="50">
        <f t="shared" si="15"/>
        <v>3218.38</v>
      </c>
      <c r="AA103" s="134">
        <v>12886.8</v>
      </c>
      <c r="AB103" s="129"/>
      <c r="AC103" s="134"/>
      <c r="AD103" s="134">
        <f t="shared" si="17"/>
        <v>12886.8</v>
      </c>
    </row>
    <row r="104" spans="1:30" s="49" customFormat="1" ht="15">
      <c r="A104" s="49" t="s">
        <v>28</v>
      </c>
      <c r="C104" s="220">
        <v>322.77</v>
      </c>
      <c r="D104" s="221"/>
      <c r="E104" s="220"/>
      <c r="F104" s="220">
        <f t="shared" si="12"/>
        <v>322.77</v>
      </c>
      <c r="G104" s="50"/>
      <c r="H104" s="58"/>
      <c r="I104" s="156">
        <v>355.43</v>
      </c>
      <c r="J104" s="156"/>
      <c r="K104" s="162"/>
      <c r="L104" s="162">
        <f t="shared" si="13"/>
        <v>355.43</v>
      </c>
      <c r="M104" s="50"/>
      <c r="N104" s="54"/>
      <c r="O104" s="104">
        <v>653.49</v>
      </c>
      <c r="P104" s="104"/>
      <c r="Q104" s="110"/>
      <c r="R104" s="110">
        <f t="shared" si="14"/>
        <v>653.49</v>
      </c>
      <c r="S104" s="54"/>
      <c r="T104" s="54">
        <v>210.98</v>
      </c>
      <c r="V104" s="50"/>
      <c r="W104" s="50">
        <f t="shared" si="15"/>
        <v>210.98</v>
      </c>
      <c r="AA104" s="134">
        <v>28359.63</v>
      </c>
      <c r="AB104" s="129"/>
      <c r="AC104" s="134"/>
      <c r="AD104" s="134">
        <f t="shared" si="17"/>
        <v>28359.63</v>
      </c>
    </row>
    <row r="105" spans="1:30" s="49" customFormat="1" ht="15">
      <c r="A105" s="49" t="s">
        <v>29</v>
      </c>
      <c r="C105" s="220">
        <v>0</v>
      </c>
      <c r="D105" s="221"/>
      <c r="E105" s="220"/>
      <c r="F105" s="220">
        <f t="shared" si="12"/>
        <v>0</v>
      </c>
      <c r="G105" s="50"/>
      <c r="H105" s="58"/>
      <c r="I105" s="156">
        <v>139.31</v>
      </c>
      <c r="J105" s="156"/>
      <c r="K105" s="162"/>
      <c r="L105" s="162">
        <f t="shared" si="13"/>
        <v>139.31</v>
      </c>
      <c r="M105" s="50"/>
      <c r="N105" s="54"/>
      <c r="O105" s="117">
        <v>0</v>
      </c>
      <c r="P105" s="117"/>
      <c r="Q105" s="110"/>
      <c r="R105" s="110">
        <f t="shared" si="14"/>
        <v>0</v>
      </c>
      <c r="S105" s="54"/>
      <c r="T105" s="68">
        <v>0</v>
      </c>
      <c r="V105" s="50"/>
      <c r="W105" s="50">
        <f t="shared" si="15"/>
        <v>0</v>
      </c>
      <c r="AA105" s="134"/>
      <c r="AB105" s="129"/>
      <c r="AC105" s="134"/>
      <c r="AD105" s="134">
        <f t="shared" si="17"/>
        <v>0</v>
      </c>
    </row>
    <row r="106" spans="1:30" s="49" customFormat="1" ht="15">
      <c r="A106" s="49" t="s">
        <v>30</v>
      </c>
      <c r="C106" s="220">
        <v>0</v>
      </c>
      <c r="D106" s="221"/>
      <c r="E106" s="220"/>
      <c r="F106" s="220">
        <f t="shared" si="12"/>
        <v>0</v>
      </c>
      <c r="G106" s="50"/>
      <c r="H106" s="58"/>
      <c r="I106" s="156">
        <v>3619.33</v>
      </c>
      <c r="J106" s="156"/>
      <c r="K106" s="162"/>
      <c r="L106" s="162">
        <f t="shared" si="13"/>
        <v>3619.33</v>
      </c>
      <c r="M106" s="50"/>
      <c r="N106" s="54"/>
      <c r="O106" s="117">
        <v>0</v>
      </c>
      <c r="P106" s="117"/>
      <c r="Q106" s="110"/>
      <c r="R106" s="110">
        <f t="shared" si="14"/>
        <v>0</v>
      </c>
      <c r="S106" s="54"/>
      <c r="T106" s="68">
        <v>0</v>
      </c>
      <c r="V106" s="50"/>
      <c r="W106" s="50">
        <f t="shared" si="15"/>
        <v>0</v>
      </c>
      <c r="AA106" s="134"/>
      <c r="AB106" s="129"/>
      <c r="AC106" s="134"/>
      <c r="AD106" s="134">
        <f t="shared" si="17"/>
        <v>0</v>
      </c>
    </row>
    <row r="107" spans="1:30" s="49" customFormat="1" ht="15">
      <c r="A107" s="49" t="s">
        <v>134</v>
      </c>
      <c r="C107" s="220"/>
      <c r="D107" s="235"/>
      <c r="E107" s="219">
        <v>10735</v>
      </c>
      <c r="F107" s="220">
        <f t="shared" si="12"/>
        <v>10735</v>
      </c>
      <c r="G107" s="50"/>
      <c r="H107" s="58"/>
      <c r="I107" s="156"/>
      <c r="J107" s="182"/>
      <c r="K107" s="161">
        <v>10735</v>
      </c>
      <c r="L107" s="162">
        <f>I107+K107+K108</f>
        <v>28980</v>
      </c>
      <c r="M107" s="50"/>
      <c r="N107" s="54"/>
      <c r="O107" s="117"/>
      <c r="P107" s="203"/>
      <c r="Q107" s="109"/>
      <c r="R107" s="110">
        <f t="shared" si="14"/>
        <v>0</v>
      </c>
      <c r="S107" s="54"/>
      <c r="T107" s="68"/>
      <c r="U107" s="84"/>
      <c r="V107" s="51">
        <v>259864</v>
      </c>
      <c r="W107" s="50">
        <f>+V107+V108</f>
        <v>289197</v>
      </c>
      <c r="AA107" s="134"/>
      <c r="AB107" s="129"/>
      <c r="AC107" s="133"/>
      <c r="AD107" s="134">
        <f t="shared" si="17"/>
        <v>0</v>
      </c>
    </row>
    <row r="108" spans="1:30" s="49" customFormat="1" ht="15">
      <c r="A108" s="49" t="s">
        <v>182</v>
      </c>
      <c r="C108" s="220"/>
      <c r="D108" s="235"/>
      <c r="E108" s="219"/>
      <c r="F108" s="220"/>
      <c r="G108" s="50"/>
      <c r="H108" s="58"/>
      <c r="I108" s="156"/>
      <c r="J108" s="186"/>
      <c r="K108" s="187">
        <v>18245</v>
      </c>
      <c r="L108" s="162"/>
      <c r="M108" s="50"/>
      <c r="N108" s="54"/>
      <c r="O108" s="117"/>
      <c r="P108" s="209"/>
      <c r="Q108" s="123"/>
      <c r="R108" s="110"/>
      <c r="S108" s="54"/>
      <c r="T108" s="68"/>
      <c r="U108" s="90"/>
      <c r="V108" s="91">
        <v>29333</v>
      </c>
      <c r="W108" s="50"/>
      <c r="AA108" s="134">
        <v>270</v>
      </c>
      <c r="AB108" s="129"/>
      <c r="AC108" s="148"/>
      <c r="AD108" s="134">
        <f t="shared" si="17"/>
        <v>270</v>
      </c>
    </row>
    <row r="109" spans="1:30" s="49" customFormat="1" ht="15">
      <c r="A109" s="49" t="s">
        <v>132</v>
      </c>
      <c r="C109" s="220"/>
      <c r="D109" s="221"/>
      <c r="E109" s="220"/>
      <c r="F109" s="220"/>
      <c r="G109" s="50"/>
      <c r="H109" s="58"/>
      <c r="I109" s="156"/>
      <c r="J109" s="171"/>
      <c r="K109" s="171"/>
      <c r="L109" s="162"/>
      <c r="M109" s="50"/>
      <c r="N109" s="54"/>
      <c r="O109" s="117"/>
      <c r="P109" s="117"/>
      <c r="Q109" s="110"/>
      <c r="R109" s="110"/>
      <c r="S109" s="54"/>
      <c r="T109" s="68"/>
      <c r="U109" s="71"/>
      <c r="V109" s="72">
        <v>3523</v>
      </c>
      <c r="W109" s="50">
        <f t="shared" si="15"/>
        <v>3523</v>
      </c>
      <c r="X109" s="98" t="s">
        <v>133</v>
      </c>
      <c r="Y109" s="99" t="s">
        <v>150</v>
      </c>
      <c r="Z109" s="99"/>
      <c r="AA109" s="134"/>
      <c r="AB109" s="129"/>
      <c r="AC109" s="134"/>
      <c r="AD109" s="134">
        <f aca="true" t="shared" si="18" ref="AD109:AD121">AA109+AC109</f>
        <v>0</v>
      </c>
    </row>
    <row r="110" spans="1:30" s="49" customFormat="1" ht="15">
      <c r="A110" s="49" t="s">
        <v>78</v>
      </c>
      <c r="C110" s="220">
        <v>12</v>
      </c>
      <c r="D110" s="221"/>
      <c r="E110" s="220"/>
      <c r="F110" s="220">
        <f t="shared" si="12"/>
        <v>12</v>
      </c>
      <c r="G110" s="50"/>
      <c r="H110" s="58"/>
      <c r="I110" s="156">
        <v>0</v>
      </c>
      <c r="J110" s="156"/>
      <c r="K110" s="162"/>
      <c r="L110" s="162">
        <f t="shared" si="13"/>
        <v>0</v>
      </c>
      <c r="M110" s="50"/>
      <c r="N110" s="54"/>
      <c r="O110" s="104">
        <v>210.78</v>
      </c>
      <c r="P110" s="104"/>
      <c r="Q110" s="110"/>
      <c r="R110" s="110">
        <f t="shared" si="14"/>
        <v>210.78</v>
      </c>
      <c r="S110" s="54"/>
      <c r="T110" s="54">
        <v>90.61</v>
      </c>
      <c r="V110" s="50"/>
      <c r="W110" s="50">
        <f t="shared" si="15"/>
        <v>90.61</v>
      </c>
      <c r="AA110" s="134"/>
      <c r="AB110" s="129"/>
      <c r="AC110" s="134"/>
      <c r="AD110" s="134">
        <f t="shared" si="18"/>
        <v>0</v>
      </c>
    </row>
    <row r="111" spans="1:30" s="49" customFormat="1" ht="15">
      <c r="A111" s="49" t="s">
        <v>31</v>
      </c>
      <c r="C111" s="220">
        <v>126</v>
      </c>
      <c r="D111" s="221"/>
      <c r="E111" s="220"/>
      <c r="F111" s="220">
        <f t="shared" si="12"/>
        <v>126</v>
      </c>
      <c r="G111" s="50"/>
      <c r="H111" s="58"/>
      <c r="I111" s="156">
        <v>621</v>
      </c>
      <c r="J111" s="156"/>
      <c r="K111" s="162"/>
      <c r="L111" s="162">
        <f t="shared" si="13"/>
        <v>621</v>
      </c>
      <c r="M111" s="50"/>
      <c r="N111" s="54"/>
      <c r="O111" s="104">
        <v>2619.92</v>
      </c>
      <c r="P111" s="104"/>
      <c r="Q111" s="110"/>
      <c r="R111" s="110">
        <f t="shared" si="14"/>
        <v>2619.92</v>
      </c>
      <c r="S111" s="54"/>
      <c r="T111" s="54">
        <v>8422.51</v>
      </c>
      <c r="V111" s="50"/>
      <c r="W111" s="50">
        <f t="shared" si="15"/>
        <v>8422.51</v>
      </c>
      <c r="AA111" s="134"/>
      <c r="AB111" s="129"/>
      <c r="AC111" s="134"/>
      <c r="AD111" s="134">
        <f t="shared" si="18"/>
        <v>0</v>
      </c>
    </row>
    <row r="112" spans="1:30" s="49" customFormat="1" ht="15">
      <c r="A112" s="49" t="s">
        <v>32</v>
      </c>
      <c r="C112" s="220">
        <v>0</v>
      </c>
      <c r="D112" s="221"/>
      <c r="E112" s="220"/>
      <c r="F112" s="220">
        <f t="shared" si="12"/>
        <v>0</v>
      </c>
      <c r="G112" s="50"/>
      <c r="H112" s="58"/>
      <c r="I112" s="156">
        <v>12</v>
      </c>
      <c r="J112" s="156"/>
      <c r="K112" s="162"/>
      <c r="L112" s="162">
        <f t="shared" si="13"/>
        <v>12</v>
      </c>
      <c r="M112" s="50"/>
      <c r="N112" s="54"/>
      <c r="O112" s="104">
        <v>162</v>
      </c>
      <c r="P112" s="104"/>
      <c r="Q112" s="110"/>
      <c r="R112" s="110">
        <f t="shared" si="14"/>
        <v>162</v>
      </c>
      <c r="S112" s="54"/>
      <c r="T112" s="54">
        <v>12</v>
      </c>
      <c r="V112" s="50"/>
      <c r="W112" s="50">
        <f t="shared" si="15"/>
        <v>12</v>
      </c>
      <c r="AA112" s="134">
        <v>6476</v>
      </c>
      <c r="AB112" s="129"/>
      <c r="AC112" s="134"/>
      <c r="AD112" s="134">
        <f t="shared" si="18"/>
        <v>6476</v>
      </c>
    </row>
    <row r="113" spans="1:30" s="49" customFormat="1" ht="15">
      <c r="A113" s="49" t="s">
        <v>60</v>
      </c>
      <c r="C113" s="220">
        <v>-250562</v>
      </c>
      <c r="D113" s="221"/>
      <c r="E113" s="220"/>
      <c r="F113" s="220">
        <f t="shared" si="12"/>
        <v>-250562</v>
      </c>
      <c r="G113" s="50"/>
      <c r="H113" s="58"/>
      <c r="I113" s="156">
        <v>-1889.39</v>
      </c>
      <c r="J113" s="156"/>
      <c r="K113" s="162"/>
      <c r="L113" s="162">
        <f t="shared" si="13"/>
        <v>-1889.39</v>
      </c>
      <c r="M113" s="50"/>
      <c r="N113" s="54"/>
      <c r="O113" s="104">
        <v>-39224.13</v>
      </c>
      <c r="P113" s="104"/>
      <c r="Q113" s="110"/>
      <c r="R113" s="110">
        <f t="shared" si="14"/>
        <v>-39224.13</v>
      </c>
      <c r="S113" s="54"/>
      <c r="T113" s="54">
        <v>-18183.98</v>
      </c>
      <c r="V113" s="50"/>
      <c r="W113" s="50">
        <f t="shared" si="15"/>
        <v>-18183.98</v>
      </c>
      <c r="AA113" s="134"/>
      <c r="AB113" s="129"/>
      <c r="AC113" s="134"/>
      <c r="AD113" s="134">
        <f t="shared" si="18"/>
        <v>0</v>
      </c>
    </row>
    <row r="114" spans="1:30" s="49" customFormat="1" ht="15">
      <c r="A114" s="49" t="s">
        <v>33</v>
      </c>
      <c r="C114" s="220">
        <v>375</v>
      </c>
      <c r="D114" s="221"/>
      <c r="E114" s="220"/>
      <c r="F114" s="220">
        <f t="shared" si="12"/>
        <v>375</v>
      </c>
      <c r="G114" s="50"/>
      <c r="H114" s="58"/>
      <c r="I114" s="156">
        <v>634.75</v>
      </c>
      <c r="J114" s="156"/>
      <c r="K114" s="162"/>
      <c r="L114" s="162">
        <f t="shared" si="13"/>
        <v>634.75</v>
      </c>
      <c r="M114" s="50"/>
      <c r="N114" s="54"/>
      <c r="O114" s="104">
        <v>861</v>
      </c>
      <c r="P114" s="104"/>
      <c r="Q114" s="110"/>
      <c r="R114" s="110">
        <f t="shared" si="14"/>
        <v>861</v>
      </c>
      <c r="S114" s="54"/>
      <c r="T114" s="68">
        <v>0</v>
      </c>
      <c r="V114" s="50"/>
      <c r="W114" s="50">
        <f t="shared" si="15"/>
        <v>0</v>
      </c>
      <c r="AA114" s="134">
        <v>941.12</v>
      </c>
      <c r="AB114" s="129"/>
      <c r="AC114" s="134"/>
      <c r="AD114" s="134">
        <f t="shared" si="18"/>
        <v>941.12</v>
      </c>
    </row>
    <row r="115" spans="1:30" s="49" customFormat="1" ht="15">
      <c r="A115" s="49" t="s">
        <v>34</v>
      </c>
      <c r="C115" s="220">
        <v>41794.35</v>
      </c>
      <c r="D115" s="221"/>
      <c r="E115" s="220"/>
      <c r="F115" s="220">
        <f t="shared" si="12"/>
        <v>41794.35</v>
      </c>
      <c r="G115" s="50"/>
      <c r="H115" s="60"/>
      <c r="I115" s="156">
        <v>22159.54</v>
      </c>
      <c r="J115" s="156"/>
      <c r="K115" s="162"/>
      <c r="L115" s="162">
        <f t="shared" si="13"/>
        <v>22159.54</v>
      </c>
      <c r="M115" s="50"/>
      <c r="N115" s="60"/>
      <c r="O115" s="104">
        <v>21274.43</v>
      </c>
      <c r="P115" s="199"/>
      <c r="Q115" s="110"/>
      <c r="R115" s="110">
        <f t="shared" si="14"/>
        <v>21274.43</v>
      </c>
      <c r="S115" s="62"/>
      <c r="T115" s="54">
        <v>86466.98</v>
      </c>
      <c r="V115" s="50"/>
      <c r="W115" s="50">
        <f t="shared" si="15"/>
        <v>86466.98</v>
      </c>
      <c r="AA115" s="128">
        <v>84704.13</v>
      </c>
      <c r="AB115" s="129"/>
      <c r="AC115" s="134"/>
      <c r="AD115" s="134">
        <f t="shared" si="18"/>
        <v>84704.13</v>
      </c>
    </row>
    <row r="116" spans="1:30" s="49" customFormat="1" ht="15">
      <c r="A116" s="49" t="s">
        <v>61</v>
      </c>
      <c r="C116" s="220">
        <v>0</v>
      </c>
      <c r="D116" s="221"/>
      <c r="E116" s="220"/>
      <c r="F116" s="220">
        <f t="shared" si="12"/>
        <v>0</v>
      </c>
      <c r="G116" s="50"/>
      <c r="H116" s="58"/>
      <c r="I116" s="169">
        <v>0</v>
      </c>
      <c r="J116" s="169"/>
      <c r="K116" s="162"/>
      <c r="L116" s="162">
        <f t="shared" si="13"/>
        <v>0</v>
      </c>
      <c r="M116" s="50"/>
      <c r="N116" s="54"/>
      <c r="O116" s="104">
        <v>-130.49</v>
      </c>
      <c r="P116" s="104"/>
      <c r="Q116" s="110"/>
      <c r="R116" s="110">
        <f t="shared" si="14"/>
        <v>-130.49</v>
      </c>
      <c r="S116" s="54"/>
      <c r="T116" s="54">
        <v>-1197.1</v>
      </c>
      <c r="V116" s="50"/>
      <c r="W116" s="50">
        <f t="shared" si="15"/>
        <v>-1197.1</v>
      </c>
      <c r="AA116" s="128">
        <v>-511.1</v>
      </c>
      <c r="AB116" s="129"/>
      <c r="AC116" s="134"/>
      <c r="AD116" s="134">
        <f t="shared" si="18"/>
        <v>-511.1</v>
      </c>
    </row>
    <row r="117" spans="1:30" s="49" customFormat="1" ht="15">
      <c r="A117" s="49" t="s">
        <v>77</v>
      </c>
      <c r="C117" s="220">
        <v>0</v>
      </c>
      <c r="D117" s="221"/>
      <c r="E117" s="220"/>
      <c r="F117" s="220">
        <f t="shared" si="12"/>
        <v>0</v>
      </c>
      <c r="G117" s="50"/>
      <c r="H117" s="58"/>
      <c r="I117" s="169">
        <v>0</v>
      </c>
      <c r="J117" s="169"/>
      <c r="K117" s="162"/>
      <c r="L117" s="162">
        <f t="shared" si="13"/>
        <v>0</v>
      </c>
      <c r="M117" s="50"/>
      <c r="N117" s="54"/>
      <c r="O117" s="104">
        <v>3652.66</v>
      </c>
      <c r="P117" s="104"/>
      <c r="Q117" s="110"/>
      <c r="R117" s="110">
        <f t="shared" si="14"/>
        <v>3652.66</v>
      </c>
      <c r="S117" s="54"/>
      <c r="T117" s="54">
        <v>12551.49</v>
      </c>
      <c r="V117" s="50"/>
      <c r="W117" s="50">
        <f t="shared" si="15"/>
        <v>12551.49</v>
      </c>
      <c r="AA117" s="128">
        <v>492.65</v>
      </c>
      <c r="AB117" s="129"/>
      <c r="AC117" s="134"/>
      <c r="AD117" s="134">
        <f t="shared" si="18"/>
        <v>492.65</v>
      </c>
    </row>
    <row r="118" spans="1:30" s="49" customFormat="1" ht="15">
      <c r="A118" s="49" t="s">
        <v>35</v>
      </c>
      <c r="C118" s="220">
        <v>4008.48</v>
      </c>
      <c r="D118" s="221"/>
      <c r="E118" s="220"/>
      <c r="F118" s="220">
        <f t="shared" si="12"/>
        <v>4008.48</v>
      </c>
      <c r="G118" s="50"/>
      <c r="H118" s="58"/>
      <c r="I118" s="156">
        <v>5968.55</v>
      </c>
      <c r="J118" s="156"/>
      <c r="K118" s="162"/>
      <c r="L118" s="162">
        <f t="shared" si="13"/>
        <v>5968.55</v>
      </c>
      <c r="M118" s="50"/>
      <c r="N118" s="54"/>
      <c r="O118" s="104">
        <v>29527</v>
      </c>
      <c r="P118" s="104"/>
      <c r="Q118" s="110"/>
      <c r="R118" s="110">
        <f t="shared" si="14"/>
        <v>29527</v>
      </c>
      <c r="S118" s="54"/>
      <c r="T118" s="54">
        <v>126218.2</v>
      </c>
      <c r="V118" s="50"/>
      <c r="W118" s="50">
        <f t="shared" si="15"/>
        <v>126218.2</v>
      </c>
      <c r="AA118" s="128">
        <v>1640</v>
      </c>
      <c r="AB118" s="129"/>
      <c r="AC118" s="134"/>
      <c r="AD118" s="134">
        <f t="shared" si="18"/>
        <v>1640</v>
      </c>
    </row>
    <row r="119" spans="1:30" s="49" customFormat="1" ht="15">
      <c r="A119" s="49" t="s">
        <v>76</v>
      </c>
      <c r="C119" s="220">
        <v>0</v>
      </c>
      <c r="D119" s="221"/>
      <c r="E119" s="220"/>
      <c r="F119" s="220">
        <f t="shared" si="12"/>
        <v>0</v>
      </c>
      <c r="G119" s="50"/>
      <c r="H119" s="58"/>
      <c r="I119" s="169">
        <v>0</v>
      </c>
      <c r="J119" s="169"/>
      <c r="K119" s="162"/>
      <c r="L119" s="162">
        <f t="shared" si="13"/>
        <v>0</v>
      </c>
      <c r="M119" s="50"/>
      <c r="N119" s="55"/>
      <c r="O119" s="104">
        <v>200000</v>
      </c>
      <c r="P119" s="210"/>
      <c r="Q119" s="110"/>
      <c r="R119" s="110">
        <f>O119+Q119+Q120</f>
        <v>200000</v>
      </c>
      <c r="S119" s="55"/>
      <c r="T119" s="54">
        <v>625529.95</v>
      </c>
      <c r="U119" s="85"/>
      <c r="V119" s="50">
        <v>-200209</v>
      </c>
      <c r="W119" s="50">
        <f>T119+V119+V120+V121</f>
        <v>625320.95</v>
      </c>
      <c r="AA119" s="128"/>
      <c r="AB119" s="129"/>
      <c r="AC119" s="134"/>
      <c r="AD119" s="134">
        <f t="shared" si="18"/>
        <v>0</v>
      </c>
    </row>
    <row r="120" spans="3:30" s="49" customFormat="1" ht="15">
      <c r="C120" s="220"/>
      <c r="D120" s="221"/>
      <c r="E120" s="220"/>
      <c r="F120" s="220"/>
      <c r="G120" s="50"/>
      <c r="H120" s="58"/>
      <c r="I120" s="169"/>
      <c r="J120" s="169"/>
      <c r="K120" s="162"/>
      <c r="L120" s="162"/>
      <c r="M120" s="50"/>
      <c r="N120" s="55"/>
      <c r="O120" s="104"/>
      <c r="P120" s="210"/>
      <c r="Q120" s="110"/>
      <c r="R120" s="110"/>
      <c r="S120" s="55"/>
      <c r="T120" s="54"/>
      <c r="U120" s="82"/>
      <c r="V120" s="50">
        <v>136864</v>
      </c>
      <c r="W120" s="50"/>
      <c r="AA120" s="128"/>
      <c r="AB120" s="129"/>
      <c r="AC120" s="134"/>
      <c r="AD120" s="134"/>
    </row>
    <row r="121" spans="1:30" s="49" customFormat="1" ht="15">
      <c r="A121" s="49" t="s">
        <v>202</v>
      </c>
      <c r="C121" s="220"/>
      <c r="D121" s="221"/>
      <c r="E121" s="220"/>
      <c r="F121" s="220"/>
      <c r="G121" s="50"/>
      <c r="H121" s="58"/>
      <c r="I121" s="169"/>
      <c r="J121" s="169"/>
      <c r="K121" s="162"/>
      <c r="L121" s="162"/>
      <c r="M121" s="50"/>
      <c r="N121" s="55"/>
      <c r="O121" s="104"/>
      <c r="P121" s="210"/>
      <c r="Q121" s="110"/>
      <c r="R121" s="110"/>
      <c r="S121" s="55"/>
      <c r="T121" s="54"/>
      <c r="U121" s="82"/>
      <c r="V121" s="50">
        <v>63136</v>
      </c>
      <c r="W121" s="50"/>
      <c r="AA121" s="128">
        <v>10163.24</v>
      </c>
      <c r="AB121" s="129"/>
      <c r="AC121" s="134"/>
      <c r="AD121" s="134">
        <f t="shared" si="18"/>
        <v>10163.24</v>
      </c>
    </row>
    <row r="122" spans="1:30" s="49" customFormat="1" ht="15">
      <c r="A122" s="49" t="s">
        <v>75</v>
      </c>
      <c r="C122" s="220">
        <v>0</v>
      </c>
      <c r="D122" s="221"/>
      <c r="E122" s="220"/>
      <c r="F122" s="220">
        <f t="shared" si="12"/>
        <v>0</v>
      </c>
      <c r="G122" s="50"/>
      <c r="H122" s="58"/>
      <c r="I122" s="169">
        <v>0</v>
      </c>
      <c r="J122" s="169"/>
      <c r="K122" s="162"/>
      <c r="L122" s="162">
        <f t="shared" si="13"/>
        <v>0</v>
      </c>
      <c r="M122" s="50"/>
      <c r="N122" s="54"/>
      <c r="O122" s="104">
        <v>1075</v>
      </c>
      <c r="P122" s="104"/>
      <c r="Q122" s="110"/>
      <c r="R122" s="110">
        <f t="shared" si="14"/>
        <v>1075</v>
      </c>
      <c r="S122" s="54"/>
      <c r="T122" s="68">
        <v>0</v>
      </c>
      <c r="V122" s="50"/>
      <c r="W122" s="50">
        <f t="shared" si="15"/>
        <v>0</v>
      </c>
      <c r="AA122" s="128"/>
      <c r="AB122" s="129"/>
      <c r="AC122" s="134"/>
      <c r="AD122" s="134">
        <f>AA122+AC122</f>
        <v>0</v>
      </c>
    </row>
    <row r="123" spans="1:30" s="49" customFormat="1" ht="15">
      <c r="A123" s="49" t="s">
        <v>36</v>
      </c>
      <c r="B123" s="62" t="s">
        <v>105</v>
      </c>
      <c r="C123" s="220">
        <v>8599.06</v>
      </c>
      <c r="D123" s="221"/>
      <c r="E123" s="220"/>
      <c r="F123" s="220">
        <f t="shared" si="12"/>
        <v>8599.06</v>
      </c>
      <c r="G123" s="50"/>
      <c r="H123" s="60"/>
      <c r="I123" s="156">
        <v>20742.85</v>
      </c>
      <c r="J123" s="156"/>
      <c r="K123" s="162"/>
      <c r="L123" s="162">
        <f t="shared" si="13"/>
        <v>20742.85</v>
      </c>
      <c r="M123" s="50"/>
      <c r="N123" s="60"/>
      <c r="O123" s="104">
        <v>57453.56</v>
      </c>
      <c r="P123" s="104"/>
      <c r="Q123" s="110"/>
      <c r="R123" s="110">
        <f t="shared" si="14"/>
        <v>57453.56</v>
      </c>
      <c r="S123" s="60"/>
      <c r="T123" s="54">
        <v>99845.84</v>
      </c>
      <c r="V123" s="50"/>
      <c r="W123" s="50">
        <f t="shared" si="15"/>
        <v>99845.84</v>
      </c>
      <c r="AA123" s="128">
        <v>157230.16</v>
      </c>
      <c r="AB123" s="129"/>
      <c r="AC123" s="134"/>
      <c r="AD123" s="134">
        <f>AA123+AC123</f>
        <v>157230.16</v>
      </c>
    </row>
    <row r="124" spans="1:30" s="49" customFormat="1" ht="15">
      <c r="A124" s="49" t="s">
        <v>80</v>
      </c>
      <c r="C124" s="220">
        <v>0</v>
      </c>
      <c r="D124" s="221"/>
      <c r="E124" s="220"/>
      <c r="F124" s="220">
        <f t="shared" si="12"/>
        <v>0</v>
      </c>
      <c r="G124" s="50"/>
      <c r="H124" s="58"/>
      <c r="I124" s="169">
        <v>0</v>
      </c>
      <c r="J124" s="169"/>
      <c r="K124" s="162"/>
      <c r="L124" s="162">
        <f t="shared" si="13"/>
        <v>0</v>
      </c>
      <c r="M124" s="50"/>
      <c r="N124" s="54"/>
      <c r="O124" s="104">
        <v>69386</v>
      </c>
      <c r="P124" s="199"/>
      <c r="Q124" s="110"/>
      <c r="R124" s="110">
        <f t="shared" si="14"/>
        <v>69386</v>
      </c>
      <c r="S124" s="54"/>
      <c r="T124" s="68">
        <v>0</v>
      </c>
      <c r="V124" s="50"/>
      <c r="W124" s="50">
        <f t="shared" si="15"/>
        <v>0</v>
      </c>
      <c r="AA124" s="128"/>
      <c r="AB124" s="129"/>
      <c r="AC124" s="134"/>
      <c r="AD124" s="134">
        <f>AA124+AC124</f>
        <v>0</v>
      </c>
    </row>
    <row r="125" spans="1:30" s="49" customFormat="1" ht="15">
      <c r="A125" s="49" t="s">
        <v>74</v>
      </c>
      <c r="C125" s="220">
        <v>870</v>
      </c>
      <c r="D125" s="221"/>
      <c r="E125" s="220"/>
      <c r="F125" s="220">
        <f t="shared" si="12"/>
        <v>870</v>
      </c>
      <c r="G125" s="50"/>
      <c r="H125" s="58"/>
      <c r="I125" s="169">
        <v>0</v>
      </c>
      <c r="J125" s="169"/>
      <c r="K125" s="162"/>
      <c r="L125" s="162">
        <f t="shared" si="13"/>
        <v>0</v>
      </c>
      <c r="M125" s="50"/>
      <c r="N125" s="54"/>
      <c r="O125" s="104">
        <v>20.4</v>
      </c>
      <c r="P125" s="104"/>
      <c r="Q125" s="110"/>
      <c r="R125" s="110">
        <f t="shared" si="14"/>
        <v>20.4</v>
      </c>
      <c r="S125" s="54"/>
      <c r="T125" s="54">
        <v>5485</v>
      </c>
      <c r="V125" s="50"/>
      <c r="W125" s="50">
        <f t="shared" si="15"/>
        <v>5485</v>
      </c>
      <c r="AA125" s="128">
        <v>20345</v>
      </c>
      <c r="AB125" s="129"/>
      <c r="AC125" s="134"/>
      <c r="AD125" s="134">
        <f>AA125+AC125</f>
        <v>20345</v>
      </c>
    </row>
    <row r="126" spans="1:30" s="49" customFormat="1" ht="15">
      <c r="A126" s="49" t="s">
        <v>73</v>
      </c>
      <c r="C126" s="220">
        <v>1205.12</v>
      </c>
      <c r="D126" s="230"/>
      <c r="E126" s="240">
        <v>5171</v>
      </c>
      <c r="F126" s="220">
        <f t="shared" si="12"/>
        <v>6376.12</v>
      </c>
      <c r="G126" s="50"/>
      <c r="H126" s="58"/>
      <c r="I126" s="169">
        <v>0</v>
      </c>
      <c r="J126" s="188"/>
      <c r="K126" s="181">
        <v>-5171</v>
      </c>
      <c r="L126" s="162">
        <f>I126+K126+K127</f>
        <v>22160</v>
      </c>
      <c r="M126" s="50"/>
      <c r="N126" s="54"/>
      <c r="O126" s="104">
        <v>35</v>
      </c>
      <c r="P126" s="202"/>
      <c r="Q126" s="121"/>
      <c r="R126" s="110">
        <f>O126+Q126+Q127+Q128</f>
        <v>35</v>
      </c>
      <c r="S126" s="54"/>
      <c r="T126" s="68">
        <v>0</v>
      </c>
      <c r="U126" s="71"/>
      <c r="V126" s="89">
        <v>-68610</v>
      </c>
      <c r="W126" s="50">
        <f>T126+V126+V127</f>
        <v>-63931</v>
      </c>
      <c r="AA126" s="128">
        <v>689.31</v>
      </c>
      <c r="AB126" s="129"/>
      <c r="AC126" s="146"/>
      <c r="AD126" s="134">
        <f>AA126+AC126</f>
        <v>689.31</v>
      </c>
    </row>
    <row r="127" spans="3:30" s="49" customFormat="1" ht="15">
      <c r="C127" s="220"/>
      <c r="D127" s="230"/>
      <c r="E127" s="240"/>
      <c r="F127" s="220"/>
      <c r="G127" s="50"/>
      <c r="H127" s="58"/>
      <c r="I127" s="169"/>
      <c r="J127" s="175"/>
      <c r="K127" s="189">
        <v>27331</v>
      </c>
      <c r="L127" s="162"/>
      <c r="M127" s="50"/>
      <c r="N127" s="54"/>
      <c r="O127" s="104"/>
      <c r="P127" s="198"/>
      <c r="Q127" s="125"/>
      <c r="R127" s="110"/>
      <c r="S127" s="54"/>
      <c r="T127" s="68"/>
      <c r="U127" s="76"/>
      <c r="V127" s="77">
        <v>4679</v>
      </c>
      <c r="W127" s="50"/>
      <c r="AA127" s="128"/>
      <c r="AB127" s="129"/>
      <c r="AC127" s="150"/>
      <c r="AD127" s="134"/>
    </row>
    <row r="128" spans="3:30" s="49" customFormat="1" ht="15">
      <c r="C128" s="220"/>
      <c r="D128" s="230"/>
      <c r="E128" s="240"/>
      <c r="F128" s="220"/>
      <c r="G128" s="50"/>
      <c r="H128" s="58"/>
      <c r="I128" s="169"/>
      <c r="J128" s="175"/>
      <c r="K128" s="189"/>
      <c r="L128" s="162"/>
      <c r="M128" s="50"/>
      <c r="N128" s="54"/>
      <c r="O128" s="104"/>
      <c r="P128" s="197"/>
      <c r="Q128" s="119"/>
      <c r="R128" s="110"/>
      <c r="S128" s="54"/>
      <c r="T128" s="68"/>
      <c r="U128" s="76"/>
      <c r="V128" s="77"/>
      <c r="W128" s="50"/>
      <c r="AA128" s="128"/>
      <c r="AB128" s="129"/>
      <c r="AC128" s="143"/>
      <c r="AD128" s="134"/>
    </row>
    <row r="129" spans="1:30" s="49" customFormat="1" ht="15">
      <c r="A129" s="49" t="s">
        <v>37</v>
      </c>
      <c r="C129" s="220">
        <v>0</v>
      </c>
      <c r="D129" s="221"/>
      <c r="E129" s="220"/>
      <c r="F129" s="220">
        <f t="shared" si="12"/>
        <v>0</v>
      </c>
      <c r="G129" s="50"/>
      <c r="H129" s="58"/>
      <c r="I129" s="156">
        <v>5520.05</v>
      </c>
      <c r="J129" s="156"/>
      <c r="K129" s="162"/>
      <c r="L129" s="162">
        <f t="shared" si="13"/>
        <v>5520.05</v>
      </c>
      <c r="M129" s="50"/>
      <c r="N129" s="54"/>
      <c r="O129" s="117">
        <v>0</v>
      </c>
      <c r="P129" s="117"/>
      <c r="Q129" s="110"/>
      <c r="R129" s="110">
        <f t="shared" si="14"/>
        <v>0</v>
      </c>
      <c r="S129" s="54"/>
      <c r="T129" s="68">
        <v>0</v>
      </c>
      <c r="V129" s="50"/>
      <c r="W129" s="50">
        <f t="shared" si="15"/>
        <v>0</v>
      </c>
      <c r="AA129" s="141"/>
      <c r="AB129" s="129"/>
      <c r="AC129" s="134"/>
      <c r="AD129" s="134">
        <f aca="true" t="shared" si="19" ref="AD129:AD169">AA129+AC129</f>
        <v>0</v>
      </c>
    </row>
    <row r="130" spans="1:30" s="49" customFormat="1" ht="15">
      <c r="A130" s="49" t="s">
        <v>38</v>
      </c>
      <c r="C130" s="220">
        <v>0</v>
      </c>
      <c r="D130" s="221"/>
      <c r="E130" s="220"/>
      <c r="F130" s="220">
        <f t="shared" si="12"/>
        <v>0</v>
      </c>
      <c r="G130" s="50"/>
      <c r="H130" s="58"/>
      <c r="I130" s="156">
        <v>355.23</v>
      </c>
      <c r="J130" s="156"/>
      <c r="K130" s="162"/>
      <c r="L130" s="162">
        <f t="shared" si="13"/>
        <v>355.23</v>
      </c>
      <c r="M130" s="50"/>
      <c r="N130" s="54"/>
      <c r="O130" s="104">
        <v>378.9</v>
      </c>
      <c r="P130" s="104"/>
      <c r="Q130" s="110"/>
      <c r="R130" s="110">
        <f t="shared" si="14"/>
        <v>378.9</v>
      </c>
      <c r="S130" s="54"/>
      <c r="T130" s="54">
        <v>551.78</v>
      </c>
      <c r="V130" s="50"/>
      <c r="W130" s="50">
        <f t="shared" si="15"/>
        <v>551.78</v>
      </c>
      <c r="AA130" s="128"/>
      <c r="AB130" s="129"/>
      <c r="AC130" s="134"/>
      <c r="AD130" s="134">
        <f t="shared" si="19"/>
        <v>0</v>
      </c>
    </row>
    <row r="131" spans="1:30" s="49" customFormat="1" ht="15">
      <c r="A131" s="49" t="s">
        <v>39</v>
      </c>
      <c r="C131" s="220">
        <v>0</v>
      </c>
      <c r="D131" s="221"/>
      <c r="E131" s="220"/>
      <c r="F131" s="220">
        <f t="shared" si="12"/>
        <v>0</v>
      </c>
      <c r="G131" s="50"/>
      <c r="H131" s="58"/>
      <c r="I131" s="156">
        <v>797.19</v>
      </c>
      <c r="J131" s="156"/>
      <c r="K131" s="162"/>
      <c r="L131" s="162">
        <f t="shared" si="13"/>
        <v>797.19</v>
      </c>
      <c r="M131" s="50"/>
      <c r="N131" s="54"/>
      <c r="O131" s="104">
        <v>2684.76</v>
      </c>
      <c r="P131" s="104"/>
      <c r="Q131" s="110"/>
      <c r="R131" s="110">
        <f t="shared" si="14"/>
        <v>2684.76</v>
      </c>
      <c r="S131" s="54"/>
      <c r="T131" s="54">
        <v>4116.7</v>
      </c>
      <c r="V131" s="50"/>
      <c r="W131" s="50">
        <f t="shared" si="15"/>
        <v>4116.7</v>
      </c>
      <c r="AA131" s="128">
        <v>6114.03</v>
      </c>
      <c r="AB131" s="129"/>
      <c r="AC131" s="134"/>
      <c r="AD131" s="134">
        <f t="shared" si="19"/>
        <v>6114.03</v>
      </c>
    </row>
    <row r="132" spans="1:30" s="49" customFormat="1" ht="15">
      <c r="A132" s="49" t="s">
        <v>40</v>
      </c>
      <c r="C132" s="220">
        <v>136</v>
      </c>
      <c r="D132" s="221"/>
      <c r="E132" s="220"/>
      <c r="F132" s="220">
        <f t="shared" si="12"/>
        <v>136</v>
      </c>
      <c r="G132" s="50"/>
      <c r="H132" s="58"/>
      <c r="I132" s="156">
        <v>25.02</v>
      </c>
      <c r="J132" s="156"/>
      <c r="K132" s="162"/>
      <c r="L132" s="162">
        <f t="shared" si="13"/>
        <v>25.02</v>
      </c>
      <c r="M132" s="50"/>
      <c r="N132" s="54"/>
      <c r="O132" s="104">
        <v>3147.76</v>
      </c>
      <c r="P132" s="104"/>
      <c r="Q132" s="110"/>
      <c r="R132" s="110">
        <f t="shared" si="14"/>
        <v>3147.76</v>
      </c>
      <c r="S132" s="54"/>
      <c r="T132" s="54">
        <v>4534.9</v>
      </c>
      <c r="V132" s="50"/>
      <c r="W132" s="50">
        <f t="shared" si="15"/>
        <v>4534.9</v>
      </c>
      <c r="AA132" s="128">
        <v>3067.82</v>
      </c>
      <c r="AB132" s="129"/>
      <c r="AC132" s="134"/>
      <c r="AD132" s="134">
        <f t="shared" si="19"/>
        <v>3067.82</v>
      </c>
    </row>
    <row r="133" spans="1:30" s="49" customFormat="1" ht="15">
      <c r="A133" s="49" t="s">
        <v>41</v>
      </c>
      <c r="C133" s="220">
        <v>295</v>
      </c>
      <c r="D133" s="221"/>
      <c r="E133" s="220"/>
      <c r="F133" s="220">
        <f t="shared" si="12"/>
        <v>295</v>
      </c>
      <c r="G133" s="50"/>
      <c r="H133" s="58"/>
      <c r="I133" s="156">
        <v>5074.27</v>
      </c>
      <c r="J133" s="156"/>
      <c r="K133" s="162"/>
      <c r="L133" s="162">
        <f t="shared" si="13"/>
        <v>5074.27</v>
      </c>
      <c r="M133" s="50"/>
      <c r="N133" s="54"/>
      <c r="O133" s="104">
        <v>29096.69</v>
      </c>
      <c r="P133" s="104"/>
      <c r="Q133" s="110"/>
      <c r="R133" s="110">
        <f t="shared" si="14"/>
        <v>29096.69</v>
      </c>
      <c r="S133" s="54"/>
      <c r="T133" s="54">
        <v>18188.26</v>
      </c>
      <c r="V133" s="50"/>
      <c r="W133" s="50">
        <f t="shared" si="15"/>
        <v>18188.26</v>
      </c>
      <c r="AA133" s="128">
        <v>25419.65</v>
      </c>
      <c r="AB133" s="129"/>
      <c r="AC133" s="134"/>
      <c r="AD133" s="134">
        <f t="shared" si="19"/>
        <v>25419.65</v>
      </c>
    </row>
    <row r="134" spans="1:30" s="49" customFormat="1" ht="15">
      <c r="A134" s="49" t="s">
        <v>72</v>
      </c>
      <c r="C134" s="220">
        <v>0</v>
      </c>
      <c r="D134" s="221"/>
      <c r="E134" s="220"/>
      <c r="F134" s="220">
        <f t="shared" si="12"/>
        <v>0</v>
      </c>
      <c r="G134" s="50"/>
      <c r="H134" s="58"/>
      <c r="I134" s="156">
        <v>0</v>
      </c>
      <c r="J134" s="156"/>
      <c r="K134" s="162"/>
      <c r="L134" s="162">
        <f t="shared" si="13"/>
        <v>0</v>
      </c>
      <c r="M134" s="50"/>
      <c r="N134" s="100"/>
      <c r="O134" s="104">
        <v>14143.5</v>
      </c>
      <c r="P134" s="104"/>
      <c r="Q134" s="110"/>
      <c r="R134" s="110">
        <f t="shared" si="14"/>
        <v>14143.5</v>
      </c>
      <c r="S134" s="100"/>
      <c r="T134" s="54">
        <v>12098.58</v>
      </c>
      <c r="V134" s="50"/>
      <c r="W134" s="50">
        <f t="shared" si="15"/>
        <v>12098.58</v>
      </c>
      <c r="AA134" s="128">
        <v>57408.18</v>
      </c>
      <c r="AB134" s="129"/>
      <c r="AC134" s="134"/>
      <c r="AD134" s="134">
        <f t="shared" si="19"/>
        <v>57408.18</v>
      </c>
    </row>
    <row r="135" spans="1:30" s="49" customFormat="1" ht="15">
      <c r="A135" s="49" t="s">
        <v>42</v>
      </c>
      <c r="B135" s="53" t="s">
        <v>131</v>
      </c>
      <c r="C135" s="220">
        <v>59625</v>
      </c>
      <c r="D135" s="221"/>
      <c r="E135" s="220"/>
      <c r="F135" s="220">
        <f t="shared" si="12"/>
        <v>59625</v>
      </c>
      <c r="G135" s="50"/>
      <c r="H135" s="100"/>
      <c r="I135" s="156">
        <v>128325</v>
      </c>
      <c r="J135" s="179"/>
      <c r="K135" s="162">
        <v>-72463</v>
      </c>
      <c r="L135" s="162">
        <f t="shared" si="13"/>
        <v>55862</v>
      </c>
      <c r="M135" s="50"/>
      <c r="N135" s="100"/>
      <c r="O135" s="104">
        <v>115000</v>
      </c>
      <c r="P135" s="207"/>
      <c r="Q135" s="110"/>
      <c r="R135" s="110">
        <f>O135+Q135</f>
        <v>115000</v>
      </c>
      <c r="S135" s="100"/>
      <c r="T135" s="54">
        <v>378756.21</v>
      </c>
      <c r="U135" s="101"/>
      <c r="V135" s="95">
        <f>-(+V80+V76)</f>
        <v>1447556</v>
      </c>
      <c r="W135" s="50">
        <f t="shared" si="15"/>
        <v>1826312.21</v>
      </c>
      <c r="AA135" s="128"/>
      <c r="AB135" s="129"/>
      <c r="AC135" s="134"/>
      <c r="AD135" s="134">
        <f t="shared" si="19"/>
        <v>0</v>
      </c>
    </row>
    <row r="136" spans="1:30" s="49" customFormat="1" ht="15">
      <c r="A136" s="49" t="s">
        <v>43</v>
      </c>
      <c r="B136" s="53" t="s">
        <v>131</v>
      </c>
      <c r="C136" s="220">
        <v>4068.25</v>
      </c>
      <c r="D136" s="221"/>
      <c r="E136" s="220"/>
      <c r="F136" s="220">
        <f t="shared" si="12"/>
        <v>4068.25</v>
      </c>
      <c r="G136" s="50"/>
      <c r="H136" s="100"/>
      <c r="I136" s="156">
        <v>10211.73</v>
      </c>
      <c r="J136" s="156"/>
      <c r="K136" s="162"/>
      <c r="L136" s="162">
        <f t="shared" si="13"/>
        <v>10211.73</v>
      </c>
      <c r="M136" s="50"/>
      <c r="N136" s="100"/>
      <c r="O136" s="104">
        <v>16159.1</v>
      </c>
      <c r="P136" s="104"/>
      <c r="Q136" s="110"/>
      <c r="R136" s="110">
        <f t="shared" si="14"/>
        <v>16159.1</v>
      </c>
      <c r="S136" s="100"/>
      <c r="T136" s="54">
        <v>85735.73</v>
      </c>
      <c r="V136" s="50"/>
      <c r="W136" s="50">
        <f t="shared" si="15"/>
        <v>85735.73</v>
      </c>
      <c r="AA136" s="128">
        <v>75808.49</v>
      </c>
      <c r="AB136" s="129"/>
      <c r="AC136" s="134"/>
      <c r="AD136" s="134">
        <f t="shared" si="19"/>
        <v>75808.49</v>
      </c>
    </row>
    <row r="137" spans="1:30" s="49" customFormat="1" ht="15">
      <c r="A137" s="49" t="s">
        <v>203</v>
      </c>
      <c r="B137" s="53"/>
      <c r="C137" s="220"/>
      <c r="D137" s="221"/>
      <c r="E137" s="220"/>
      <c r="F137" s="220"/>
      <c r="G137" s="50"/>
      <c r="H137" s="100"/>
      <c r="I137" s="156"/>
      <c r="J137" s="156"/>
      <c r="K137" s="162"/>
      <c r="L137" s="162"/>
      <c r="M137" s="50"/>
      <c r="N137" s="100"/>
      <c r="O137" s="104"/>
      <c r="P137" s="104"/>
      <c r="Q137" s="110"/>
      <c r="R137" s="110"/>
      <c r="S137" s="100"/>
      <c r="T137" s="54"/>
      <c r="V137" s="50"/>
      <c r="W137" s="50"/>
      <c r="AA137" s="128">
        <v>20000</v>
      </c>
      <c r="AB137" s="129"/>
      <c r="AC137" s="134"/>
      <c r="AD137" s="134">
        <f t="shared" si="19"/>
        <v>20000</v>
      </c>
    </row>
    <row r="138" spans="1:30" s="49" customFormat="1" ht="15">
      <c r="A138" s="49" t="s">
        <v>44</v>
      </c>
      <c r="C138" s="220">
        <v>0</v>
      </c>
      <c r="D138" s="221"/>
      <c r="E138" s="220"/>
      <c r="F138" s="220">
        <f t="shared" si="12"/>
        <v>0</v>
      </c>
      <c r="G138" s="50"/>
      <c r="H138" s="100"/>
      <c r="I138" s="156">
        <v>575</v>
      </c>
      <c r="J138" s="156"/>
      <c r="K138" s="162"/>
      <c r="L138" s="162">
        <f t="shared" si="13"/>
        <v>575</v>
      </c>
      <c r="M138" s="50"/>
      <c r="N138" s="100"/>
      <c r="O138" s="104">
        <v>200</v>
      </c>
      <c r="P138" s="104"/>
      <c r="Q138" s="110"/>
      <c r="R138" s="110">
        <f t="shared" si="14"/>
        <v>200</v>
      </c>
      <c r="S138" s="100"/>
      <c r="T138" s="54">
        <v>1525</v>
      </c>
      <c r="V138" s="50"/>
      <c r="W138" s="50">
        <f t="shared" si="15"/>
        <v>1525</v>
      </c>
      <c r="AA138" s="128">
        <v>23810</v>
      </c>
      <c r="AB138" s="129"/>
      <c r="AC138" s="134"/>
      <c r="AD138" s="134">
        <f t="shared" si="19"/>
        <v>23810</v>
      </c>
    </row>
    <row r="139" spans="1:30" s="49" customFormat="1" ht="15">
      <c r="A139" s="49" t="s">
        <v>204</v>
      </c>
      <c r="C139" s="220"/>
      <c r="D139" s="221"/>
      <c r="E139" s="220"/>
      <c r="F139" s="220"/>
      <c r="G139" s="50"/>
      <c r="H139" s="100"/>
      <c r="I139" s="156"/>
      <c r="J139" s="156"/>
      <c r="K139" s="162"/>
      <c r="L139" s="162"/>
      <c r="M139" s="50"/>
      <c r="N139" s="100"/>
      <c r="O139" s="104"/>
      <c r="P139" s="104"/>
      <c r="Q139" s="110"/>
      <c r="R139" s="110"/>
      <c r="S139" s="100"/>
      <c r="T139" s="54"/>
      <c r="V139" s="50"/>
      <c r="W139" s="50"/>
      <c r="AA139" s="128">
        <v>72000</v>
      </c>
      <c r="AB139" s="129"/>
      <c r="AC139" s="134"/>
      <c r="AD139" s="134">
        <f t="shared" si="19"/>
        <v>72000</v>
      </c>
    </row>
    <row r="140" spans="1:30" s="49" customFormat="1" ht="15">
      <c r="A140" s="49" t="s">
        <v>71</v>
      </c>
      <c r="C140" s="220">
        <v>0</v>
      </c>
      <c r="D140" s="221"/>
      <c r="E140" s="220"/>
      <c r="F140" s="220">
        <f t="shared" si="12"/>
        <v>0</v>
      </c>
      <c r="G140" s="50"/>
      <c r="H140" s="58"/>
      <c r="I140" s="169">
        <v>0</v>
      </c>
      <c r="J140" s="169"/>
      <c r="K140" s="162"/>
      <c r="L140" s="162">
        <f t="shared" si="13"/>
        <v>0</v>
      </c>
      <c r="M140" s="50"/>
      <c r="N140" s="100"/>
      <c r="O140" s="104">
        <v>20026.32</v>
      </c>
      <c r="P140" s="104"/>
      <c r="Q140" s="110"/>
      <c r="R140" s="110">
        <f t="shared" si="14"/>
        <v>20026.32</v>
      </c>
      <c r="S140" s="54"/>
      <c r="T140" s="68">
        <v>0</v>
      </c>
      <c r="V140" s="50"/>
      <c r="W140" s="50">
        <f t="shared" si="15"/>
        <v>0</v>
      </c>
      <c r="AA140" s="128"/>
      <c r="AB140" s="129"/>
      <c r="AC140" s="134"/>
      <c r="AD140" s="134">
        <f t="shared" si="19"/>
        <v>0</v>
      </c>
    </row>
    <row r="141" spans="1:30" s="49" customFormat="1" ht="15">
      <c r="A141" s="49" t="s">
        <v>70</v>
      </c>
      <c r="C141" s="220">
        <v>0</v>
      </c>
      <c r="D141" s="221"/>
      <c r="E141" s="220"/>
      <c r="F141" s="220">
        <f t="shared" si="12"/>
        <v>0</v>
      </c>
      <c r="G141" s="50"/>
      <c r="H141" s="58"/>
      <c r="I141" s="169">
        <v>0</v>
      </c>
      <c r="J141" s="169"/>
      <c r="K141" s="162"/>
      <c r="L141" s="162">
        <f t="shared" si="13"/>
        <v>0</v>
      </c>
      <c r="M141" s="50"/>
      <c r="N141" s="100"/>
      <c r="O141" s="104">
        <v>17402.34</v>
      </c>
      <c r="P141" s="104"/>
      <c r="Q141" s="110"/>
      <c r="R141" s="110">
        <f t="shared" si="14"/>
        <v>17402.34</v>
      </c>
      <c r="S141" s="54"/>
      <c r="T141" s="54">
        <v>8505.8</v>
      </c>
      <c r="V141" s="50"/>
      <c r="W141" s="50">
        <f t="shared" si="15"/>
        <v>8505.8</v>
      </c>
      <c r="AA141" s="128"/>
      <c r="AB141" s="129"/>
      <c r="AC141" s="134"/>
      <c r="AD141" s="134">
        <f t="shared" si="19"/>
        <v>0</v>
      </c>
    </row>
    <row r="142" spans="1:30" s="49" customFormat="1" ht="15">
      <c r="A142" s="49" t="s">
        <v>69</v>
      </c>
      <c r="C142" s="220">
        <v>0</v>
      </c>
      <c r="D142" s="221"/>
      <c r="E142" s="220"/>
      <c r="F142" s="220">
        <f t="shared" si="12"/>
        <v>0</v>
      </c>
      <c r="G142" s="50"/>
      <c r="H142" s="58"/>
      <c r="I142" s="169">
        <v>0</v>
      </c>
      <c r="J142" s="169"/>
      <c r="K142" s="162"/>
      <c r="L142" s="162">
        <f t="shared" si="13"/>
        <v>0</v>
      </c>
      <c r="M142" s="50"/>
      <c r="N142" s="100"/>
      <c r="O142" s="104">
        <v>6625.68</v>
      </c>
      <c r="P142" s="104"/>
      <c r="Q142" s="110"/>
      <c r="R142" s="110">
        <f t="shared" si="14"/>
        <v>6625.68</v>
      </c>
      <c r="S142" s="54"/>
      <c r="T142" s="68">
        <v>0</v>
      </c>
      <c r="V142" s="50"/>
      <c r="W142" s="50">
        <f t="shared" si="15"/>
        <v>0</v>
      </c>
      <c r="AA142" s="128"/>
      <c r="AB142" s="129"/>
      <c r="AC142" s="134"/>
      <c r="AD142" s="134">
        <f t="shared" si="19"/>
        <v>0</v>
      </c>
    </row>
    <row r="143" spans="1:30" s="49" customFormat="1" ht="15">
      <c r="A143" s="49" t="s">
        <v>68</v>
      </c>
      <c r="C143" s="220">
        <v>0</v>
      </c>
      <c r="D143" s="221"/>
      <c r="E143" s="220"/>
      <c r="F143" s="220">
        <f t="shared" si="12"/>
        <v>0</v>
      </c>
      <c r="G143" s="50"/>
      <c r="H143" s="58"/>
      <c r="I143" s="169">
        <v>0</v>
      </c>
      <c r="J143" s="169"/>
      <c r="K143" s="162"/>
      <c r="L143" s="162">
        <f t="shared" si="13"/>
        <v>0</v>
      </c>
      <c r="M143" s="50"/>
      <c r="N143" s="100"/>
      <c r="O143" s="104">
        <v>2750</v>
      </c>
      <c r="P143" s="104"/>
      <c r="Q143" s="110"/>
      <c r="R143" s="110">
        <f t="shared" si="14"/>
        <v>2750</v>
      </c>
      <c r="S143" s="100"/>
      <c r="T143" s="54">
        <v>850</v>
      </c>
      <c r="V143" s="50"/>
      <c r="W143" s="50">
        <f t="shared" si="15"/>
        <v>850</v>
      </c>
      <c r="AA143" s="128"/>
      <c r="AB143" s="129"/>
      <c r="AC143" s="134"/>
      <c r="AD143" s="134">
        <f t="shared" si="19"/>
        <v>0</v>
      </c>
    </row>
    <row r="144" spans="1:30" s="49" customFormat="1" ht="15">
      <c r="A144" s="49" t="s">
        <v>45</v>
      </c>
      <c r="C144" s="220">
        <v>0</v>
      </c>
      <c r="D144" s="221"/>
      <c r="E144" s="220"/>
      <c r="F144" s="220">
        <f t="shared" si="12"/>
        <v>0</v>
      </c>
      <c r="G144" s="50"/>
      <c r="H144" s="100"/>
      <c r="I144" s="156">
        <v>34400.5</v>
      </c>
      <c r="J144" s="156"/>
      <c r="K144" s="162"/>
      <c r="L144" s="162">
        <f t="shared" si="13"/>
        <v>34400.5</v>
      </c>
      <c r="M144" s="50"/>
      <c r="N144" s="100"/>
      <c r="O144" s="104">
        <v>6760</v>
      </c>
      <c r="P144" s="104"/>
      <c r="Q144" s="110"/>
      <c r="R144" s="110">
        <f t="shared" si="14"/>
        <v>6760</v>
      </c>
      <c r="S144" s="54"/>
      <c r="T144" s="68">
        <v>0</v>
      </c>
      <c r="V144" s="50"/>
      <c r="W144" s="50">
        <f t="shared" si="15"/>
        <v>0</v>
      </c>
      <c r="AA144" s="128"/>
      <c r="AB144" s="129"/>
      <c r="AC144" s="134"/>
      <c r="AD144" s="134">
        <f t="shared" si="19"/>
        <v>0</v>
      </c>
    </row>
    <row r="145" spans="1:30" s="49" customFormat="1" ht="15">
      <c r="A145" s="49" t="s">
        <v>46</v>
      </c>
      <c r="B145" s="53" t="s">
        <v>131</v>
      </c>
      <c r="C145" s="220">
        <v>37500</v>
      </c>
      <c r="D145" s="233"/>
      <c r="E145" s="220">
        <v>4005</v>
      </c>
      <c r="F145" s="220">
        <f t="shared" si="12"/>
        <v>41505</v>
      </c>
      <c r="G145" s="50"/>
      <c r="H145" s="100"/>
      <c r="I145" s="156">
        <v>99663</v>
      </c>
      <c r="J145" s="156"/>
      <c r="K145" s="162"/>
      <c r="L145" s="162">
        <f t="shared" si="13"/>
        <v>99663</v>
      </c>
      <c r="M145" s="50"/>
      <c r="N145" s="100"/>
      <c r="O145" s="117">
        <v>0</v>
      </c>
      <c r="P145" s="117"/>
      <c r="Q145" s="110"/>
      <c r="R145" s="110">
        <f t="shared" si="14"/>
        <v>0</v>
      </c>
      <c r="S145" s="100"/>
      <c r="T145" s="68">
        <v>0</v>
      </c>
      <c r="V145" s="50"/>
      <c r="W145" s="50">
        <f t="shared" si="15"/>
        <v>0</v>
      </c>
      <c r="AA145" s="134">
        <v>20000</v>
      </c>
      <c r="AB145" s="129"/>
      <c r="AC145" s="134"/>
      <c r="AD145" s="134">
        <f t="shared" si="19"/>
        <v>20000</v>
      </c>
    </row>
    <row r="146" spans="1:30" s="49" customFormat="1" ht="15">
      <c r="A146" s="49" t="s">
        <v>47</v>
      </c>
      <c r="B146" s="53" t="s">
        <v>131</v>
      </c>
      <c r="C146" s="220">
        <v>153600</v>
      </c>
      <c r="D146" s="221"/>
      <c r="E146" s="220"/>
      <c r="F146" s="220">
        <f t="shared" si="12"/>
        <v>153600</v>
      </c>
      <c r="G146" s="50"/>
      <c r="H146" s="100"/>
      <c r="I146" s="156">
        <v>136500</v>
      </c>
      <c r="J146" s="156"/>
      <c r="K146" s="162"/>
      <c r="L146" s="162">
        <f t="shared" si="13"/>
        <v>136500</v>
      </c>
      <c r="M146" s="50"/>
      <c r="N146" s="100"/>
      <c r="O146" s="104">
        <v>63028</v>
      </c>
      <c r="P146" s="104"/>
      <c r="Q146" s="110"/>
      <c r="R146" s="110">
        <f>O146+Q146</f>
        <v>63028</v>
      </c>
      <c r="S146" s="100"/>
      <c r="T146" s="68">
        <v>0</v>
      </c>
      <c r="V146" s="50"/>
      <c r="W146" s="50">
        <f t="shared" si="15"/>
        <v>0</v>
      </c>
      <c r="AA146" s="128">
        <v>87225</v>
      </c>
      <c r="AB146" s="129"/>
      <c r="AC146" s="134"/>
      <c r="AD146" s="134">
        <f t="shared" si="19"/>
        <v>87225</v>
      </c>
    </row>
    <row r="147" spans="1:30" s="49" customFormat="1" ht="15">
      <c r="A147" s="49" t="s">
        <v>48</v>
      </c>
      <c r="C147" s="220">
        <v>2945.01</v>
      </c>
      <c r="D147" s="238"/>
      <c r="E147" s="219">
        <v>-258</v>
      </c>
      <c r="F147" s="220">
        <f t="shared" si="12"/>
        <v>2687.01</v>
      </c>
      <c r="G147" s="50"/>
      <c r="H147" s="58"/>
      <c r="I147" s="156">
        <v>1127</v>
      </c>
      <c r="J147" s="156"/>
      <c r="K147" s="162"/>
      <c r="L147" s="162">
        <f t="shared" si="13"/>
        <v>1127</v>
      </c>
      <c r="M147" s="50"/>
      <c r="N147" s="54"/>
      <c r="O147" s="104">
        <v>678.37</v>
      </c>
      <c r="P147" s="104"/>
      <c r="Q147" s="110"/>
      <c r="R147" s="110">
        <f t="shared" si="14"/>
        <v>678.37</v>
      </c>
      <c r="S147" s="54"/>
      <c r="T147" s="54">
        <v>2039.94</v>
      </c>
      <c r="V147" s="50"/>
      <c r="W147" s="50">
        <f t="shared" si="15"/>
        <v>2039.94</v>
      </c>
      <c r="AA147" s="128">
        <v>1408.5</v>
      </c>
      <c r="AB147" s="129"/>
      <c r="AC147" s="134"/>
      <c r="AD147" s="134">
        <f t="shared" si="19"/>
        <v>1408.5</v>
      </c>
    </row>
    <row r="148" spans="1:30" s="49" customFormat="1" ht="15">
      <c r="A148" s="49" t="s">
        <v>49</v>
      </c>
      <c r="C148" s="220">
        <v>0</v>
      </c>
      <c r="D148" s="221"/>
      <c r="E148" s="220"/>
      <c r="F148" s="220">
        <f t="shared" si="12"/>
        <v>0</v>
      </c>
      <c r="G148" s="50"/>
      <c r="H148" s="58"/>
      <c r="I148" s="156">
        <v>19</v>
      </c>
      <c r="J148" s="156"/>
      <c r="K148" s="162"/>
      <c r="L148" s="162">
        <f t="shared" si="13"/>
        <v>19</v>
      </c>
      <c r="M148" s="50"/>
      <c r="N148" s="54"/>
      <c r="O148" s="104">
        <v>16</v>
      </c>
      <c r="P148" s="104"/>
      <c r="Q148" s="110"/>
      <c r="R148" s="110">
        <f t="shared" si="14"/>
        <v>16</v>
      </c>
      <c r="S148" s="54"/>
      <c r="T148" s="54">
        <v>176.15</v>
      </c>
      <c r="V148" s="50"/>
      <c r="W148" s="50">
        <f t="shared" si="15"/>
        <v>176.15</v>
      </c>
      <c r="AA148" s="128"/>
      <c r="AB148" s="129"/>
      <c r="AC148" s="134"/>
      <c r="AD148" s="134">
        <f t="shared" si="19"/>
        <v>0</v>
      </c>
    </row>
    <row r="149" spans="1:30" s="49" customFormat="1" ht="15">
      <c r="A149" s="49" t="s">
        <v>50</v>
      </c>
      <c r="C149" s="220">
        <v>0</v>
      </c>
      <c r="D149" s="221"/>
      <c r="E149" s="220"/>
      <c r="F149" s="220">
        <f t="shared" si="12"/>
        <v>0</v>
      </c>
      <c r="G149" s="50"/>
      <c r="H149" s="58"/>
      <c r="I149" s="156">
        <v>5000</v>
      </c>
      <c r="J149" s="156"/>
      <c r="K149" s="162"/>
      <c r="L149" s="162">
        <f t="shared" si="13"/>
        <v>5000</v>
      </c>
      <c r="M149" s="50"/>
      <c r="N149" s="54"/>
      <c r="O149" s="117">
        <v>0</v>
      </c>
      <c r="P149" s="117"/>
      <c r="Q149" s="110"/>
      <c r="R149" s="110">
        <f t="shared" si="14"/>
        <v>0</v>
      </c>
      <c r="S149" s="54"/>
      <c r="T149" s="68">
        <v>0</v>
      </c>
      <c r="V149" s="50"/>
      <c r="W149" s="50">
        <f t="shared" si="15"/>
        <v>0</v>
      </c>
      <c r="AA149" s="134">
        <v>400</v>
      </c>
      <c r="AB149" s="129"/>
      <c r="AC149" s="134"/>
      <c r="AD149" s="134">
        <f t="shared" si="19"/>
        <v>400</v>
      </c>
    </row>
    <row r="150" spans="1:30" s="49" customFormat="1" ht="15">
      <c r="A150" s="49" t="s">
        <v>205</v>
      </c>
      <c r="C150" s="220"/>
      <c r="D150" s="221"/>
      <c r="E150" s="220"/>
      <c r="F150" s="220"/>
      <c r="G150" s="50"/>
      <c r="H150" s="58"/>
      <c r="I150" s="156"/>
      <c r="J150" s="156"/>
      <c r="K150" s="162"/>
      <c r="L150" s="162"/>
      <c r="M150" s="50"/>
      <c r="N150" s="54"/>
      <c r="O150" s="117"/>
      <c r="P150" s="117"/>
      <c r="Q150" s="110"/>
      <c r="R150" s="110"/>
      <c r="S150" s="54"/>
      <c r="T150" s="68"/>
      <c r="V150" s="50"/>
      <c r="W150" s="50"/>
      <c r="AA150" s="134">
        <v>-950</v>
      </c>
      <c r="AB150" s="129"/>
      <c r="AC150" s="134"/>
      <c r="AD150" s="134">
        <f t="shared" si="19"/>
        <v>-950</v>
      </c>
    </row>
    <row r="151" spans="1:30" s="49" customFormat="1" ht="15">
      <c r="A151" s="49" t="s">
        <v>51</v>
      </c>
      <c r="C151" s="220">
        <v>0</v>
      </c>
      <c r="D151" s="221"/>
      <c r="E151" s="220"/>
      <c r="F151" s="220">
        <f t="shared" si="12"/>
        <v>0</v>
      </c>
      <c r="G151" s="50"/>
      <c r="H151" s="58"/>
      <c r="I151" s="156">
        <v>2700</v>
      </c>
      <c r="J151" s="156"/>
      <c r="K151" s="162"/>
      <c r="L151" s="162">
        <f t="shared" si="13"/>
        <v>2700</v>
      </c>
      <c r="M151" s="50"/>
      <c r="N151" s="54"/>
      <c r="O151" s="104">
        <v>10830</v>
      </c>
      <c r="P151" s="104"/>
      <c r="Q151" s="110"/>
      <c r="R151" s="110">
        <f t="shared" si="14"/>
        <v>10830</v>
      </c>
      <c r="S151" s="54"/>
      <c r="T151" s="54">
        <v>12020</v>
      </c>
      <c r="V151" s="50"/>
      <c r="W151" s="50">
        <f t="shared" si="15"/>
        <v>12020</v>
      </c>
      <c r="AA151" s="128">
        <v>4400</v>
      </c>
      <c r="AB151" s="129"/>
      <c r="AC151" s="134"/>
      <c r="AD151" s="134">
        <f t="shared" si="19"/>
        <v>4400</v>
      </c>
    </row>
    <row r="152" spans="1:30" s="49" customFormat="1" ht="15">
      <c r="A152" s="49" t="s">
        <v>52</v>
      </c>
      <c r="C152" s="220">
        <v>500</v>
      </c>
      <c r="D152" s="221"/>
      <c r="E152" s="220"/>
      <c r="F152" s="220">
        <f t="shared" si="12"/>
        <v>500</v>
      </c>
      <c r="G152" s="50"/>
      <c r="H152" s="58"/>
      <c r="I152" s="156">
        <v>1039.28</v>
      </c>
      <c r="J152" s="156"/>
      <c r="K152" s="162"/>
      <c r="L152" s="162">
        <f t="shared" si="13"/>
        <v>1039.28</v>
      </c>
      <c r="M152" s="50"/>
      <c r="N152" s="54"/>
      <c r="O152" s="117">
        <v>0</v>
      </c>
      <c r="P152" s="117"/>
      <c r="Q152" s="110"/>
      <c r="R152" s="110">
        <f t="shared" si="14"/>
        <v>0</v>
      </c>
      <c r="S152" s="54"/>
      <c r="T152" s="68">
        <v>0</v>
      </c>
      <c r="V152" s="50"/>
      <c r="W152" s="50">
        <f t="shared" si="15"/>
        <v>0</v>
      </c>
      <c r="AA152" s="141"/>
      <c r="AB152" s="129"/>
      <c r="AC152" s="134"/>
      <c r="AD152" s="134">
        <f t="shared" si="19"/>
        <v>0</v>
      </c>
    </row>
    <row r="153" spans="1:30" s="49" customFormat="1" ht="15">
      <c r="A153" s="49" t="s">
        <v>170</v>
      </c>
      <c r="C153" s="220">
        <v>0</v>
      </c>
      <c r="D153" s="221"/>
      <c r="E153" s="220"/>
      <c r="F153" s="220">
        <f t="shared" si="12"/>
        <v>0</v>
      </c>
      <c r="G153" s="50"/>
      <c r="H153" s="58"/>
      <c r="I153" s="169">
        <v>0</v>
      </c>
      <c r="J153" s="169"/>
      <c r="K153" s="162"/>
      <c r="L153" s="162">
        <f t="shared" si="13"/>
        <v>0</v>
      </c>
      <c r="M153" s="50"/>
      <c r="N153" s="54"/>
      <c r="O153" s="117">
        <v>0</v>
      </c>
      <c r="P153" s="117"/>
      <c r="Q153" s="110"/>
      <c r="R153" s="110">
        <f t="shared" si="14"/>
        <v>0</v>
      </c>
      <c r="S153" s="54"/>
      <c r="T153" s="68">
        <v>0</v>
      </c>
      <c r="V153" s="50"/>
      <c r="W153" s="50">
        <f t="shared" si="15"/>
        <v>0</v>
      </c>
      <c r="AA153" s="141">
        <v>140</v>
      </c>
      <c r="AB153" s="129"/>
      <c r="AC153" s="134"/>
      <c r="AD153" s="134">
        <f t="shared" si="19"/>
        <v>140</v>
      </c>
    </row>
    <row r="154" spans="1:30" s="49" customFormat="1" ht="15">
      <c r="A154" s="49" t="s">
        <v>67</v>
      </c>
      <c r="C154" s="220">
        <v>0</v>
      </c>
      <c r="D154" s="221"/>
      <c r="E154" s="220"/>
      <c r="F154" s="220">
        <f t="shared" si="12"/>
        <v>0</v>
      </c>
      <c r="G154" s="50"/>
      <c r="H154" s="58"/>
      <c r="I154" s="169">
        <v>0</v>
      </c>
      <c r="J154" s="169"/>
      <c r="K154" s="162"/>
      <c r="L154" s="162">
        <f t="shared" si="13"/>
        <v>0</v>
      </c>
      <c r="M154" s="50"/>
      <c r="N154" s="54"/>
      <c r="O154" s="104">
        <v>9.6</v>
      </c>
      <c r="P154" s="104"/>
      <c r="Q154" s="110"/>
      <c r="R154" s="110">
        <f t="shared" si="14"/>
        <v>9.6</v>
      </c>
      <c r="S154" s="54"/>
      <c r="T154" s="68">
        <v>0</v>
      </c>
      <c r="V154" s="50"/>
      <c r="W154" s="50">
        <f t="shared" si="15"/>
        <v>0</v>
      </c>
      <c r="AA154" s="128"/>
      <c r="AB154" s="129"/>
      <c r="AC154" s="134"/>
      <c r="AD154" s="134">
        <f t="shared" si="19"/>
        <v>0</v>
      </c>
    </row>
    <row r="155" spans="1:30" s="49" customFormat="1" ht="15">
      <c r="A155" s="49" t="s">
        <v>53</v>
      </c>
      <c r="C155" s="220">
        <v>1028.44</v>
      </c>
      <c r="D155" s="221"/>
      <c r="E155" s="220"/>
      <c r="F155" s="220">
        <f t="shared" si="12"/>
        <v>1028.44</v>
      </c>
      <c r="G155" s="50"/>
      <c r="H155" s="58"/>
      <c r="I155" s="156">
        <v>695</v>
      </c>
      <c r="J155" s="156"/>
      <c r="K155" s="162"/>
      <c r="L155" s="162">
        <f t="shared" si="13"/>
        <v>695</v>
      </c>
      <c r="M155" s="50"/>
      <c r="N155" s="54"/>
      <c r="O155" s="104">
        <v>1215.25</v>
      </c>
      <c r="P155" s="104"/>
      <c r="Q155" s="110"/>
      <c r="R155" s="110">
        <f t="shared" si="14"/>
        <v>1215.25</v>
      </c>
      <c r="S155" s="54"/>
      <c r="T155" s="54">
        <v>2044.86</v>
      </c>
      <c r="V155" s="50"/>
      <c r="W155" s="50">
        <f t="shared" si="15"/>
        <v>2044.86</v>
      </c>
      <c r="AA155" s="128">
        <v>4321.02</v>
      </c>
      <c r="AB155" s="129"/>
      <c r="AC155" s="134"/>
      <c r="AD155" s="134">
        <f t="shared" si="19"/>
        <v>4321.02</v>
      </c>
    </row>
    <row r="156" spans="1:30" s="49" customFormat="1" ht="15">
      <c r="A156" s="49" t="s">
        <v>54</v>
      </c>
      <c r="C156" s="220">
        <v>0</v>
      </c>
      <c r="D156" s="221"/>
      <c r="E156" s="220"/>
      <c r="F156" s="220">
        <f t="shared" si="12"/>
        <v>0</v>
      </c>
      <c r="G156" s="50"/>
      <c r="H156" s="58"/>
      <c r="I156" s="156">
        <v>590</v>
      </c>
      <c r="J156" s="156"/>
      <c r="K156" s="162"/>
      <c r="L156" s="162">
        <f t="shared" si="13"/>
        <v>590</v>
      </c>
      <c r="M156" s="50"/>
      <c r="N156" s="54"/>
      <c r="O156" s="104">
        <v>649</v>
      </c>
      <c r="P156" s="104"/>
      <c r="Q156" s="110"/>
      <c r="R156" s="110">
        <f t="shared" si="14"/>
        <v>649</v>
      </c>
      <c r="S156" s="54"/>
      <c r="T156" s="54">
        <v>4966.22</v>
      </c>
      <c r="V156" s="50"/>
      <c r="W156" s="50">
        <f t="shared" si="15"/>
        <v>4966.22</v>
      </c>
      <c r="AA156" s="128">
        <v>5242.48</v>
      </c>
      <c r="AB156" s="129"/>
      <c r="AC156" s="134"/>
      <c r="AD156" s="134">
        <f t="shared" si="19"/>
        <v>5242.48</v>
      </c>
    </row>
    <row r="157" spans="1:30" s="49" customFormat="1" ht="15">
      <c r="A157" s="49" t="s">
        <v>55</v>
      </c>
      <c r="C157" s="220">
        <v>0</v>
      </c>
      <c r="D157" s="221"/>
      <c r="E157" s="220"/>
      <c r="F157" s="220">
        <f t="shared" si="12"/>
        <v>0</v>
      </c>
      <c r="G157" s="50"/>
      <c r="H157" s="58"/>
      <c r="I157" s="156">
        <v>47122.64</v>
      </c>
      <c r="J157" s="156"/>
      <c r="K157" s="162"/>
      <c r="L157" s="162">
        <f t="shared" si="13"/>
        <v>47122.64</v>
      </c>
      <c r="M157" s="50"/>
      <c r="N157" s="54"/>
      <c r="O157" s="104">
        <v>35626.04</v>
      </c>
      <c r="P157" s="104"/>
      <c r="Q157" s="110"/>
      <c r="R157" s="110">
        <f t="shared" si="14"/>
        <v>35626.04</v>
      </c>
      <c r="S157" s="54"/>
      <c r="T157" s="68">
        <v>0</v>
      </c>
      <c r="V157" s="50"/>
      <c r="W157" s="50">
        <f t="shared" si="15"/>
        <v>0</v>
      </c>
      <c r="AA157" s="128"/>
      <c r="AB157" s="129"/>
      <c r="AC157" s="134"/>
      <c r="AD157" s="134">
        <f t="shared" si="19"/>
        <v>0</v>
      </c>
    </row>
    <row r="158" spans="1:30" s="49" customFormat="1" ht="15">
      <c r="A158" s="49" t="s">
        <v>206</v>
      </c>
      <c r="C158" s="220"/>
      <c r="D158" s="221"/>
      <c r="E158" s="220"/>
      <c r="F158" s="220"/>
      <c r="G158" s="50"/>
      <c r="H158" s="58"/>
      <c r="I158" s="156"/>
      <c r="J158" s="156"/>
      <c r="K158" s="162"/>
      <c r="L158" s="162"/>
      <c r="M158" s="50"/>
      <c r="N158" s="54"/>
      <c r="O158" s="104"/>
      <c r="P158" s="104"/>
      <c r="Q158" s="110"/>
      <c r="R158" s="110"/>
      <c r="S158" s="54"/>
      <c r="T158" s="68"/>
      <c r="V158" s="50"/>
      <c r="W158" s="50"/>
      <c r="AA158" s="128">
        <v>89.75</v>
      </c>
      <c r="AB158" s="129"/>
      <c r="AC158" s="134"/>
      <c r="AD158" s="134">
        <f t="shared" si="19"/>
        <v>89.75</v>
      </c>
    </row>
    <row r="159" spans="1:30" s="49" customFormat="1" ht="15">
      <c r="A159" s="49" t="s">
        <v>87</v>
      </c>
      <c r="C159" s="220">
        <v>41.67</v>
      </c>
      <c r="D159" s="221"/>
      <c r="E159" s="220"/>
      <c r="F159" s="220">
        <f t="shared" si="12"/>
        <v>41.67</v>
      </c>
      <c r="G159" s="50"/>
      <c r="H159" s="58"/>
      <c r="I159" s="169">
        <v>0</v>
      </c>
      <c r="J159" s="169"/>
      <c r="K159" s="162"/>
      <c r="L159" s="162">
        <f t="shared" si="13"/>
        <v>0</v>
      </c>
      <c r="M159" s="50"/>
      <c r="N159" s="54"/>
      <c r="O159" s="117">
        <v>0</v>
      </c>
      <c r="P159" s="117"/>
      <c r="Q159" s="110"/>
      <c r="R159" s="110">
        <f t="shared" si="14"/>
        <v>0</v>
      </c>
      <c r="S159" s="54"/>
      <c r="T159" s="68">
        <v>0</v>
      </c>
      <c r="V159" s="50"/>
      <c r="W159" s="50">
        <f t="shared" si="15"/>
        <v>0</v>
      </c>
      <c r="AA159" s="141">
        <v>1472.85</v>
      </c>
      <c r="AB159" s="129"/>
      <c r="AC159" s="134"/>
      <c r="AD159" s="134">
        <f t="shared" si="19"/>
        <v>1472.85</v>
      </c>
    </row>
    <row r="160" spans="1:30" s="49" customFormat="1" ht="15">
      <c r="A160" s="49" t="s">
        <v>56</v>
      </c>
      <c r="C160" s="220">
        <v>1607.6</v>
      </c>
      <c r="D160" s="221"/>
      <c r="E160" s="220"/>
      <c r="F160" s="220">
        <f t="shared" si="12"/>
        <v>1607.6</v>
      </c>
      <c r="G160" s="50"/>
      <c r="H160" s="58"/>
      <c r="I160" s="156">
        <v>3821.39</v>
      </c>
      <c r="J160" s="156"/>
      <c r="K160" s="162"/>
      <c r="L160" s="162">
        <f t="shared" si="13"/>
        <v>3821.39</v>
      </c>
      <c r="M160" s="50"/>
      <c r="N160" s="54"/>
      <c r="O160" s="104">
        <v>4259.87</v>
      </c>
      <c r="P160" s="104"/>
      <c r="Q160" s="110"/>
      <c r="R160" s="110">
        <f t="shared" si="14"/>
        <v>4259.87</v>
      </c>
      <c r="S160" s="54"/>
      <c r="T160" s="54">
        <v>6339.15</v>
      </c>
      <c r="V160" s="50"/>
      <c r="W160" s="50">
        <f t="shared" si="15"/>
        <v>6339.15</v>
      </c>
      <c r="AA160" s="128">
        <v>15986.65</v>
      </c>
      <c r="AB160" s="129"/>
      <c r="AC160" s="134"/>
      <c r="AD160" s="134">
        <f t="shared" si="19"/>
        <v>15986.65</v>
      </c>
    </row>
    <row r="161" spans="1:30" s="49" customFormat="1" ht="15">
      <c r="A161" s="49" t="s">
        <v>66</v>
      </c>
      <c r="C161" s="220">
        <v>0</v>
      </c>
      <c r="D161" s="221"/>
      <c r="E161" s="220"/>
      <c r="F161" s="220">
        <f t="shared" si="12"/>
        <v>0</v>
      </c>
      <c r="G161" s="50"/>
      <c r="H161" s="58"/>
      <c r="I161" s="169">
        <v>0</v>
      </c>
      <c r="J161" s="169"/>
      <c r="K161" s="162"/>
      <c r="L161" s="162">
        <f t="shared" si="13"/>
        <v>0</v>
      </c>
      <c r="M161" s="50"/>
      <c r="N161" s="54"/>
      <c r="O161" s="104">
        <v>575.35</v>
      </c>
      <c r="P161" s="104"/>
      <c r="Q161" s="110"/>
      <c r="R161" s="110">
        <f t="shared" si="14"/>
        <v>575.35</v>
      </c>
      <c r="S161" s="54"/>
      <c r="T161" s="54">
        <v>189.91</v>
      </c>
      <c r="V161" s="50"/>
      <c r="W161" s="50">
        <f t="shared" si="15"/>
        <v>189.91</v>
      </c>
      <c r="AA161" s="128">
        <v>323.25</v>
      </c>
      <c r="AB161" s="129"/>
      <c r="AC161" s="134"/>
      <c r="AD161" s="134">
        <f t="shared" si="19"/>
        <v>323.25</v>
      </c>
    </row>
    <row r="162" spans="1:30" s="49" customFormat="1" ht="15">
      <c r="A162" s="49" t="s">
        <v>57</v>
      </c>
      <c r="C162" s="220">
        <v>1538.77</v>
      </c>
      <c r="D162" s="221"/>
      <c r="E162" s="220"/>
      <c r="F162" s="220">
        <f t="shared" si="12"/>
        <v>1538.77</v>
      </c>
      <c r="G162" s="50"/>
      <c r="H162" s="58"/>
      <c r="I162" s="156">
        <v>3429.37</v>
      </c>
      <c r="J162" s="156"/>
      <c r="K162" s="162"/>
      <c r="L162" s="162">
        <f t="shared" si="13"/>
        <v>3429.37</v>
      </c>
      <c r="M162" s="50"/>
      <c r="N162" s="54"/>
      <c r="O162" s="104">
        <v>4921.8</v>
      </c>
      <c r="P162" s="104"/>
      <c r="Q162" s="110"/>
      <c r="R162" s="110">
        <f t="shared" si="14"/>
        <v>4921.8</v>
      </c>
      <c r="S162" s="54"/>
      <c r="T162" s="54">
        <v>4505.43</v>
      </c>
      <c r="V162" s="50"/>
      <c r="W162" s="50">
        <f t="shared" si="15"/>
        <v>4505.43</v>
      </c>
      <c r="AA162" s="128">
        <v>6563.11</v>
      </c>
      <c r="AB162" s="129"/>
      <c r="AC162" s="134"/>
      <c r="AD162" s="134">
        <f t="shared" si="19"/>
        <v>6563.11</v>
      </c>
    </row>
    <row r="163" spans="1:30" s="49" customFormat="1" ht="15">
      <c r="A163" s="49" t="s">
        <v>86</v>
      </c>
      <c r="C163" s="220"/>
      <c r="D163" s="221"/>
      <c r="E163" s="220"/>
      <c r="F163" s="220"/>
      <c r="G163" s="50"/>
      <c r="H163" s="58"/>
      <c r="I163" s="156"/>
      <c r="J163" s="156"/>
      <c r="K163" s="162"/>
      <c r="L163" s="162"/>
      <c r="M163" s="50"/>
      <c r="N163" s="54"/>
      <c r="O163" s="104"/>
      <c r="P163" s="104"/>
      <c r="Q163" s="110"/>
      <c r="R163" s="110"/>
      <c r="S163" s="54"/>
      <c r="T163" s="54"/>
      <c r="V163" s="50"/>
      <c r="W163" s="50"/>
      <c r="AA163" s="128">
        <v>1190.69</v>
      </c>
      <c r="AB163" s="129"/>
      <c r="AC163" s="134"/>
      <c r="AD163" s="134">
        <f t="shared" si="19"/>
        <v>1190.69</v>
      </c>
    </row>
    <row r="164" spans="1:30" s="49" customFormat="1" ht="15">
      <c r="A164" s="49" t="s">
        <v>65</v>
      </c>
      <c r="C164" s="220">
        <v>820</v>
      </c>
      <c r="D164" s="221"/>
      <c r="E164" s="220"/>
      <c r="F164" s="220">
        <f t="shared" si="12"/>
        <v>820</v>
      </c>
      <c r="G164" s="50"/>
      <c r="H164" s="58"/>
      <c r="I164" s="169">
        <v>0</v>
      </c>
      <c r="J164" s="169"/>
      <c r="K164" s="162"/>
      <c r="L164" s="162">
        <f t="shared" si="13"/>
        <v>0</v>
      </c>
      <c r="M164" s="50"/>
      <c r="N164" s="54"/>
      <c r="O164" s="104">
        <v>4945.7</v>
      </c>
      <c r="P164" s="104"/>
      <c r="Q164" s="110"/>
      <c r="R164" s="110">
        <f t="shared" si="14"/>
        <v>4945.7</v>
      </c>
      <c r="S164" s="54"/>
      <c r="T164" s="54">
        <v>13413.1</v>
      </c>
      <c r="V164" s="50"/>
      <c r="W164" s="50">
        <f t="shared" si="15"/>
        <v>13413.1</v>
      </c>
      <c r="AA164" s="128">
        <v>57511.92</v>
      </c>
      <c r="AB164" s="129"/>
      <c r="AC164" s="134"/>
      <c r="AD164" s="134">
        <f t="shared" si="19"/>
        <v>57511.92</v>
      </c>
    </row>
    <row r="165" spans="1:30" s="49" customFormat="1" ht="15">
      <c r="A165" s="49" t="s">
        <v>64</v>
      </c>
      <c r="C165" s="220">
        <v>0</v>
      </c>
      <c r="D165" s="221"/>
      <c r="E165" s="220"/>
      <c r="F165" s="220">
        <f t="shared" si="12"/>
        <v>0</v>
      </c>
      <c r="G165" s="50"/>
      <c r="H165" s="58"/>
      <c r="I165" s="169">
        <v>0</v>
      </c>
      <c r="J165" s="169"/>
      <c r="K165" s="162"/>
      <c r="L165" s="162">
        <f t="shared" si="13"/>
        <v>0</v>
      </c>
      <c r="M165" s="50"/>
      <c r="N165" s="54"/>
      <c r="O165" s="104">
        <v>1684.1</v>
      </c>
      <c r="P165" s="104"/>
      <c r="Q165" s="110"/>
      <c r="R165" s="110">
        <f t="shared" si="14"/>
        <v>1684.1</v>
      </c>
      <c r="S165" s="54"/>
      <c r="T165" s="54">
        <v>7139.11</v>
      </c>
      <c r="V165" s="50"/>
      <c r="W165" s="50">
        <f t="shared" si="15"/>
        <v>7139.11</v>
      </c>
      <c r="AA165" s="128">
        <v>57208.19</v>
      </c>
      <c r="AB165" s="129"/>
      <c r="AC165" s="134"/>
      <c r="AD165" s="134">
        <f t="shared" si="19"/>
        <v>57208.19</v>
      </c>
    </row>
    <row r="166" spans="1:30" s="49" customFormat="1" ht="15">
      <c r="A166" s="49" t="s">
        <v>63</v>
      </c>
      <c r="C166" s="220">
        <v>0</v>
      </c>
      <c r="D166" s="221"/>
      <c r="E166" s="220"/>
      <c r="F166" s="220">
        <f>C166+E166</f>
        <v>0</v>
      </c>
      <c r="G166" s="50"/>
      <c r="H166" s="58"/>
      <c r="I166" s="169">
        <v>0</v>
      </c>
      <c r="J166" s="169"/>
      <c r="K166" s="162"/>
      <c r="L166" s="162">
        <f>I166+K166</f>
        <v>0</v>
      </c>
      <c r="M166" s="50"/>
      <c r="N166" s="54"/>
      <c r="O166" s="104">
        <v>834.76</v>
      </c>
      <c r="P166" s="104"/>
      <c r="Q166" s="110"/>
      <c r="R166" s="110">
        <f>O166+Q166</f>
        <v>834.76</v>
      </c>
      <c r="S166" s="54"/>
      <c r="T166" s="54">
        <v>686.91</v>
      </c>
      <c r="V166" s="50"/>
      <c r="W166" s="50">
        <f>T166+V166</f>
        <v>686.91</v>
      </c>
      <c r="AA166" s="128">
        <v>20111.79</v>
      </c>
      <c r="AB166" s="129"/>
      <c r="AC166" s="134"/>
      <c r="AD166" s="134">
        <f t="shared" si="19"/>
        <v>20111.79</v>
      </c>
    </row>
    <row r="167" spans="1:30" s="49" customFormat="1" ht="15">
      <c r="A167" s="49" t="s">
        <v>62</v>
      </c>
      <c r="C167" s="220">
        <v>2611.46</v>
      </c>
      <c r="D167" s="221"/>
      <c r="E167" s="220"/>
      <c r="F167" s="220">
        <f>C167+E167</f>
        <v>2611.46</v>
      </c>
      <c r="G167" s="50"/>
      <c r="H167" s="58"/>
      <c r="I167" s="169">
        <v>0</v>
      </c>
      <c r="J167" s="169"/>
      <c r="K167" s="162"/>
      <c r="L167" s="162">
        <f>I167+K167</f>
        <v>0</v>
      </c>
      <c r="M167" s="50"/>
      <c r="N167" s="54"/>
      <c r="O167" s="104">
        <v>1173.23</v>
      </c>
      <c r="P167" s="104"/>
      <c r="Q167" s="110"/>
      <c r="R167" s="110">
        <f>O167+Q167</f>
        <v>1173.23</v>
      </c>
      <c r="S167" s="54"/>
      <c r="T167" s="54">
        <v>3477.9</v>
      </c>
      <c r="V167" s="50"/>
      <c r="W167" s="50">
        <f>T167+V167</f>
        <v>3477.9</v>
      </c>
      <c r="AA167" s="128">
        <v>21160.05</v>
      </c>
      <c r="AB167" s="129"/>
      <c r="AC167" s="134"/>
      <c r="AD167" s="134">
        <f t="shared" si="19"/>
        <v>21160.05</v>
      </c>
    </row>
    <row r="168" spans="1:30" s="49" customFormat="1" ht="15">
      <c r="A168" s="49" t="s">
        <v>58</v>
      </c>
      <c r="C168" s="220">
        <v>0</v>
      </c>
      <c r="D168" s="221"/>
      <c r="E168" s="220"/>
      <c r="F168" s="220">
        <f>C168+E168</f>
        <v>0</v>
      </c>
      <c r="G168" s="50"/>
      <c r="H168" s="58"/>
      <c r="I168" s="156">
        <v>95.72</v>
      </c>
      <c r="J168" s="156"/>
      <c r="K168" s="162"/>
      <c r="L168" s="162">
        <f>I168+K168</f>
        <v>95.72</v>
      </c>
      <c r="M168" s="50"/>
      <c r="N168" s="54"/>
      <c r="O168" s="104">
        <v>2958.87</v>
      </c>
      <c r="P168" s="104"/>
      <c r="Q168" s="110"/>
      <c r="R168" s="110">
        <f>O168+Q168</f>
        <v>2958.87</v>
      </c>
      <c r="S168" s="54"/>
      <c r="T168" s="54">
        <v>18758.95</v>
      </c>
      <c r="V168" s="50"/>
      <c r="W168" s="50">
        <f>T168+V168</f>
        <v>18758.95</v>
      </c>
      <c r="AA168" s="128">
        <v>6949.15</v>
      </c>
      <c r="AB168" s="129"/>
      <c r="AC168" s="134"/>
      <c r="AD168" s="134">
        <f t="shared" si="19"/>
        <v>6949.15</v>
      </c>
    </row>
    <row r="169" spans="1:30" s="49" customFormat="1" ht="15">
      <c r="A169" s="49" t="s">
        <v>59</v>
      </c>
      <c r="C169" s="222">
        <v>0</v>
      </c>
      <c r="D169" s="221"/>
      <c r="E169" s="222"/>
      <c r="F169" s="222">
        <f>C169+E169</f>
        <v>0</v>
      </c>
      <c r="G169" s="57"/>
      <c r="H169" s="58"/>
      <c r="I169" s="173">
        <v>10283.49</v>
      </c>
      <c r="J169" s="167"/>
      <c r="K169" s="165"/>
      <c r="L169" s="165">
        <f>I169+K169</f>
        <v>10283.49</v>
      </c>
      <c r="M169" s="57"/>
      <c r="N169" s="54"/>
      <c r="O169" s="112">
        <v>962.95</v>
      </c>
      <c r="P169" s="111"/>
      <c r="Q169" s="113"/>
      <c r="R169" s="113">
        <f>O169+Q169</f>
        <v>962.95</v>
      </c>
      <c r="S169" s="54"/>
      <c r="T169" s="65">
        <v>325.11</v>
      </c>
      <c r="V169" s="63"/>
      <c r="W169" s="63">
        <f>T169+V169</f>
        <v>325.11</v>
      </c>
      <c r="AA169" s="136">
        <v>52.92</v>
      </c>
      <c r="AB169" s="129"/>
      <c r="AC169" s="137"/>
      <c r="AD169" s="134">
        <f t="shared" si="19"/>
        <v>52.92</v>
      </c>
    </row>
    <row r="170" spans="3:30" ht="16.5">
      <c r="C170" s="220">
        <f>SUM(C89:C169)</f>
        <v>73157.15000000002</v>
      </c>
      <c r="D170" s="221"/>
      <c r="E170" s="220">
        <f>SUM(E89:E169)</f>
        <v>19653</v>
      </c>
      <c r="F170" s="220">
        <f>C170+E170</f>
        <v>92810.15000000002</v>
      </c>
      <c r="G170" s="8"/>
      <c r="I170" s="156">
        <f>SUM(I89:I169)</f>
        <v>552039.6900000001</v>
      </c>
      <c r="K170" s="162">
        <f>SUM(K89:K169)</f>
        <v>-21323</v>
      </c>
      <c r="L170" s="162">
        <f>I170+K170</f>
        <v>530716.6900000001</v>
      </c>
      <c r="M170" s="8"/>
      <c r="O170" s="104">
        <f>SUM(O89:O169)</f>
        <v>722300.11</v>
      </c>
      <c r="Q170" s="110">
        <f>SUM(Q89:Q169)</f>
        <v>0</v>
      </c>
      <c r="R170" s="110">
        <f>O170+Q170</f>
        <v>722300.11</v>
      </c>
      <c r="T170" s="6">
        <f>SUM(T89:T169)</f>
        <v>2396278.68</v>
      </c>
      <c r="V170" s="8">
        <f>SUM(V89:V169)</f>
        <v>837374</v>
      </c>
      <c r="W170" s="8">
        <f>T170+V170</f>
        <v>3233652.68</v>
      </c>
      <c r="AA170" s="248">
        <f>SUM(AA89:AA169)</f>
        <v>1073053.32</v>
      </c>
      <c r="AB170" s="247"/>
      <c r="AC170" s="246"/>
      <c r="AD170" s="246"/>
    </row>
    <row r="171" spans="3:23" ht="15">
      <c r="C171" s="241"/>
      <c r="D171" s="242"/>
      <c r="E171" s="241"/>
      <c r="F171" s="241"/>
      <c r="G171" s="9"/>
      <c r="V171" s="6"/>
      <c r="W171" s="6"/>
    </row>
    <row r="172" spans="1:30" ht="15">
      <c r="A172" s="5" t="s">
        <v>108</v>
      </c>
      <c r="C172" s="241"/>
      <c r="D172" s="242"/>
      <c r="E172" s="241" t="e">
        <f>+E170+E85+E56+E45+E40+E32+E29+#REF!+E14+E10</f>
        <v>#REF!</v>
      </c>
      <c r="F172" s="241" t="e">
        <f>+F170+F85+F56+F45+F40+F32+F29+#REF!+F14+F10</f>
        <v>#REF!</v>
      </c>
      <c r="G172" s="9"/>
      <c r="K172" s="190" t="e">
        <f>+K170+K85+K56+K45+K40+K32+K29+#REF!+K14+K10</f>
        <v>#REF!</v>
      </c>
      <c r="L172" s="190" t="e">
        <f>+L170+L85+L56+L45+L40+L32+L29+#REF!+L14+L10</f>
        <v>#REF!</v>
      </c>
      <c r="O172" s="126" t="e">
        <f>+O170+O85+O56+O45+O40+O32+O29+#REF!+O14+O10</f>
        <v>#REF!</v>
      </c>
      <c r="Q172" s="126" t="e">
        <f>+Q170+Q85+Q56+Q45+Q40+Q32+Q29+#REF!+Q14+Q10</f>
        <v>#REF!</v>
      </c>
      <c r="R172" s="126" t="e">
        <f>+R170+R85+R56+R45+R40+R32+R29+#REF!+R14+R10+R47</f>
        <v>#REF!</v>
      </c>
      <c r="V172" s="9" t="e">
        <f>+V170+V85+V56+V45+V40+V32+V29+#REF!+V14+V10</f>
        <v>#REF!</v>
      </c>
      <c r="W172" s="9" t="e">
        <f>+W170+W85+W56+W45+W40+W32+W29+#REF!+W14+W10</f>
        <v>#REF!</v>
      </c>
      <c r="AA172" s="151"/>
      <c r="AC172" s="151"/>
      <c r="AD172" s="151"/>
    </row>
    <row r="173" spans="3:20" ht="15">
      <c r="C173" s="241">
        <f>SUM(C79:C83)</f>
        <v>0</v>
      </c>
      <c r="D173" s="243" t="s">
        <v>102</v>
      </c>
      <c r="E173" s="153"/>
      <c r="F173" s="243"/>
      <c r="G173" s="11"/>
      <c r="I173" s="156">
        <f>SUM(I79:I83)+K81</f>
        <v>-509360</v>
      </c>
      <c r="J173" s="191" t="s">
        <v>102</v>
      </c>
      <c r="O173" s="104">
        <f>SUM(O79:O83)+Q81+Q82+Q84</f>
        <v>-2772125.48</v>
      </c>
      <c r="T173" s="6">
        <f>SUM(T79:T83)+V81+V82+V83</f>
        <v>-2399895.48</v>
      </c>
    </row>
    <row r="174" spans="3:20" ht="15">
      <c r="C174" s="241"/>
      <c r="D174" s="242"/>
      <c r="E174" s="241"/>
      <c r="F174" s="241"/>
      <c r="G174" s="9"/>
      <c r="I174" s="156">
        <f>I73+K73</f>
        <v>-34595827</v>
      </c>
      <c r="J174" s="191" t="s">
        <v>102</v>
      </c>
      <c r="O174" s="104">
        <f>O73+Q73+Q74</f>
        <v>-33118582</v>
      </c>
      <c r="T174" s="6">
        <f>T73+V73+V74+V75</f>
        <v>-33118582</v>
      </c>
    </row>
    <row r="175" spans="2:30" ht="15">
      <c r="B175" s="15"/>
      <c r="C175" s="323"/>
      <c r="D175" s="323"/>
      <c r="E175" s="323"/>
      <c r="F175" s="323"/>
      <c r="G175" s="323"/>
      <c r="H175" s="323"/>
      <c r="I175" s="323"/>
      <c r="J175" s="323"/>
      <c r="K175" s="323"/>
      <c r="L175" s="323"/>
      <c r="M175" s="323"/>
      <c r="N175" s="323"/>
      <c r="O175" s="323"/>
      <c r="P175" s="323"/>
      <c r="Q175" s="323"/>
      <c r="R175" s="127"/>
      <c r="AA175" s="129"/>
      <c r="AC175" s="129"/>
      <c r="AD175" s="152"/>
    </row>
    <row r="176" spans="2:30" ht="15">
      <c r="B176" s="15"/>
      <c r="C176" s="323"/>
      <c r="D176" s="323"/>
      <c r="E176" s="323"/>
      <c r="F176" s="323"/>
      <c r="G176" s="323"/>
      <c r="H176" s="323"/>
      <c r="I176" s="323"/>
      <c r="J176" s="323"/>
      <c r="K176" s="323"/>
      <c r="L176" s="323"/>
      <c r="M176" s="323"/>
      <c r="N176" s="323"/>
      <c r="O176" s="323"/>
      <c r="P176" s="323"/>
      <c r="Q176" s="323"/>
      <c r="R176" s="127"/>
      <c r="AA176" s="129"/>
      <c r="AC176" s="129"/>
      <c r="AD176" s="152"/>
    </row>
    <row r="177" spans="2:30" ht="15">
      <c r="B177" s="15"/>
      <c r="C177" s="323"/>
      <c r="D177" s="323"/>
      <c r="E177" s="323"/>
      <c r="F177" s="323"/>
      <c r="G177" s="323"/>
      <c r="H177" s="323"/>
      <c r="I177" s="323"/>
      <c r="J177" s="323"/>
      <c r="K177" s="323"/>
      <c r="L177" s="323"/>
      <c r="M177" s="323"/>
      <c r="N177" s="323"/>
      <c r="O177" s="323"/>
      <c r="P177" s="323"/>
      <c r="Q177" s="323"/>
      <c r="R177" s="127"/>
      <c r="AA177" s="129"/>
      <c r="AC177" s="129"/>
      <c r="AD177" s="152"/>
    </row>
    <row r="178" spans="3:30" ht="15">
      <c r="C178" s="323"/>
      <c r="D178" s="323"/>
      <c r="E178" s="323"/>
      <c r="F178" s="323"/>
      <c r="G178" s="323"/>
      <c r="H178" s="323"/>
      <c r="I178" s="323"/>
      <c r="J178" s="323"/>
      <c r="K178" s="323"/>
      <c r="L178" s="323"/>
      <c r="M178" s="323"/>
      <c r="N178" s="323"/>
      <c r="O178" s="323"/>
      <c r="P178" s="323"/>
      <c r="Q178" s="323"/>
      <c r="R178" s="127"/>
      <c r="AA178" s="129"/>
      <c r="AC178" s="129"/>
      <c r="AD178" s="152"/>
    </row>
    <row r="179" spans="3:7" ht="15">
      <c r="C179" s="9"/>
      <c r="D179" s="13"/>
      <c r="E179" s="9"/>
      <c r="F179" s="9"/>
      <c r="G179" s="9"/>
    </row>
    <row r="180" spans="2:29" ht="15">
      <c r="B180" s="15"/>
      <c r="C180" s="323"/>
      <c r="D180" s="323"/>
      <c r="E180" s="323"/>
      <c r="F180" s="323"/>
      <c r="G180" s="323"/>
      <c r="H180" s="323"/>
      <c r="I180" s="323"/>
      <c r="J180" s="323"/>
      <c r="K180" s="323"/>
      <c r="L180" s="323"/>
      <c r="M180" s="323"/>
      <c r="N180" s="323"/>
      <c r="O180" s="323"/>
      <c r="P180" s="323"/>
      <c r="Q180" s="323"/>
      <c r="AA180" s="129"/>
      <c r="AC180" s="129"/>
    </row>
    <row r="181" spans="3:29" ht="15">
      <c r="C181" s="323"/>
      <c r="D181" s="323"/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O181" s="323"/>
      <c r="P181" s="323"/>
      <c r="Q181" s="323"/>
      <c r="AA181" s="129"/>
      <c r="AC181" s="129"/>
    </row>
    <row r="182" spans="3:29" ht="15">
      <c r="C182" s="323"/>
      <c r="D182" s="323"/>
      <c r="E182" s="323"/>
      <c r="F182" s="323"/>
      <c r="G182" s="323"/>
      <c r="H182" s="323"/>
      <c r="I182" s="323"/>
      <c r="J182" s="323"/>
      <c r="K182" s="323"/>
      <c r="L182" s="323"/>
      <c r="M182" s="323"/>
      <c r="N182" s="323"/>
      <c r="O182" s="323"/>
      <c r="P182" s="323"/>
      <c r="Q182" s="323"/>
      <c r="AA182" s="129"/>
      <c r="AC182" s="129"/>
    </row>
    <row r="183" spans="3:29" ht="15">
      <c r="C183" s="323"/>
      <c r="D183" s="323"/>
      <c r="E183" s="323"/>
      <c r="F183" s="323"/>
      <c r="G183" s="323"/>
      <c r="H183" s="323"/>
      <c r="I183" s="323"/>
      <c r="J183" s="323"/>
      <c r="K183" s="323"/>
      <c r="L183" s="323"/>
      <c r="M183" s="323"/>
      <c r="N183" s="323"/>
      <c r="O183" s="323"/>
      <c r="P183" s="323"/>
      <c r="Q183" s="323"/>
      <c r="AA183" s="129"/>
      <c r="AC183" s="129"/>
    </row>
    <row r="184" spans="3:7" ht="15">
      <c r="C184" s="9"/>
      <c r="D184" s="13"/>
      <c r="E184" s="9"/>
      <c r="F184" s="9"/>
      <c r="G184" s="9"/>
    </row>
    <row r="185" spans="3:7" ht="15">
      <c r="C185" s="9"/>
      <c r="D185" s="13"/>
      <c r="E185" s="9"/>
      <c r="F185" s="9"/>
      <c r="G185" s="9"/>
    </row>
    <row r="186" spans="3:7" ht="15">
      <c r="C186" s="9"/>
      <c r="D186" s="13"/>
      <c r="E186" s="9"/>
      <c r="F186" s="9"/>
      <c r="G186" s="9"/>
    </row>
    <row r="187" spans="3:7" ht="15">
      <c r="C187" s="9"/>
      <c r="D187" s="13"/>
      <c r="E187" s="9"/>
      <c r="F187" s="9"/>
      <c r="G187" s="9"/>
    </row>
  </sheetData>
  <sheetProtection/>
  <mergeCells count="2">
    <mergeCell ref="C175:Q178"/>
    <mergeCell ref="C180:Q183"/>
  </mergeCells>
  <hyperlinks>
    <hyperlink ref="B52" r:id="rId1" display="\\bdo.com\DAL\data\groups\Shared Clients\Audit\Active\Inprocess\Grand Central Silver Mines\GCSM 9-30-07 Audit--live\PP-1 Notes Payable Rollforward.xls#'PP-1'!C8"/>
    <hyperlink ref="B49" r:id="rId2" display="\\bdo.com\DAL\data\groups\Shared Clients\Audit\Active\Inprocess\Grand Central Silver Mines\GCSM 9-30-07 Audit--live\PP-1 Notes Payable Rollforward.xls#'PP-1'!C9"/>
    <hyperlink ref="B51" r:id="rId3" display="\\bdo.com\DAL\data\groups\Shared Clients\Audit\Active\Inprocess\Grand Central Silver Mines\GCSM 9-30-07 Audit--live\PP-1 Notes Payable Rollforward.xls#'PP-1'!C10"/>
    <hyperlink ref="B50" r:id="rId4" display="\\bdo.com\DAL\data\groups\Shared Clients\Audit\Active\Inprocess\Grand Central Silver Mines\GCSM 9-30-07 Audit--live\PP-1 Notes Payable Rollforward.xls#'PP-1'!C11"/>
    <hyperlink ref="B53" r:id="rId5" display="\\bdo.com\DAL\data\groups\Shared Clients\Audit\Active\Inprocess\Grand Central Silver Mines\GCSM 9-30-07 Audit--live\PP-1 Notes Payable Rollforward.xls#'PP-1'!C12"/>
    <hyperlink ref="B54" r:id="rId6" display="\\bdo.com\DAL\data\groups\Shared Clients\Audit\Active\Inprocess\Grand Central Silver Mines\GCSM 9-30-07 Audit--live\PP-1 Notes Payable Rollforward.xls#'PP-1'!C13"/>
    <hyperlink ref="D173" r:id="rId7" display="\\bdo.com\DAL\data\groups\Shared Clients\Audit\Active\Inprocess\Grand Central Silver Mines\GCSM 9-30-07 Audit--live\WW-1 Shareholder Equity FY2006 02-19-07.xls#'Equity Stmt'!H311"/>
    <hyperlink ref="B123" r:id="rId8" display="20-1"/>
    <hyperlink ref="B40" r:id="rId9" display="HH-4"/>
    <hyperlink ref="J173" r:id="rId10" display="\\bdo.com\DAL\data\groups\Shared Clients\Audit\Active\Inprocess\Grand Central Silver Mines\GCSM 9-30-07 Audit--live\WW-1 Shareholder Equity FY2006 02-19-07.xls#'Equity Stmt'!H311"/>
    <hyperlink ref="J174" r:id="rId11" display="\\bdo.com\DAL\data\groups\Shared Clients\Audit\Active\Inprocess\Grand Central Silver Mines\GCSM 9-30-07 Audit--live\WW-1 Shareholder Equity FY2006 02-19-07.xls#'Equity Stmt'!H311"/>
    <hyperlink ref="X109" r:id="rId12" display="\\bdo.com\DAL\data\groups\Shared Clients\Audit\Active\Inprocess\Grand Central Silver Mines\GCSM 9-30-07 Audit--live\SOCF Statement of Cash Flows Worksheet.xls#'2007'!F7"/>
    <hyperlink ref="Y109" r:id="rId13" display="TB"/>
  </hyperlinks>
  <printOptions/>
  <pageMargins left="0.75" right="0.75" top="1" bottom="1" header="0.5" footer="0.5"/>
  <pageSetup fitToHeight="6" fitToWidth="1" horizontalDpi="600" verticalDpi="600" orientation="landscape" paperSize="5" scale="47" r:id="rId15"/>
  <ignoredErrors>
    <ignoredError sqref="AA10" formulaRange="1"/>
  </ignoredErrors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Marjorie J. Diephouse</dc:creator>
  <cp:keywords/>
  <dc:description/>
  <cp:lastModifiedBy>KIZERJL</cp:lastModifiedBy>
  <cp:lastPrinted>2008-05-01T21:27:50Z</cp:lastPrinted>
  <dcterms:created xsi:type="dcterms:W3CDTF">2007-11-28T22:19:09Z</dcterms:created>
  <dcterms:modified xsi:type="dcterms:W3CDTF">2012-11-11T02:38:35Z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